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inf">Hoja1!$B$38</definedName>
    <definedName name="Mat">Hoja1!$C$40</definedName>
    <definedName name="MO">Hoja1!$C$41</definedName>
  </definedNames>
  <calcPr calcId="145621"/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 s="1"/>
  <c r="T10" i="1"/>
  <c r="U10" i="1" s="1"/>
  <c r="O11" i="1"/>
  <c r="W11" i="1"/>
  <c r="X11" i="1" s="1"/>
  <c r="Y11" i="1" s="1"/>
  <c r="AA11" i="1"/>
  <c r="AB11" i="1" s="1"/>
  <c r="AB15" i="1" s="1"/>
  <c r="O12" i="1"/>
  <c r="AH12" i="1" s="1"/>
  <c r="AI12" i="1" s="1"/>
  <c r="O13" i="1"/>
  <c r="AH13" i="1"/>
  <c r="AI13" i="1" s="1"/>
  <c r="H14" i="1"/>
  <c r="L14" i="1"/>
  <c r="M14" i="1"/>
  <c r="M15" i="1" s="1"/>
  <c r="O15" i="1" s="1"/>
  <c r="N14" i="1"/>
  <c r="C15" i="1"/>
  <c r="D15" i="1"/>
  <c r="E15" i="1"/>
  <c r="F15" i="1"/>
  <c r="G15" i="1"/>
  <c r="H15" i="1"/>
  <c r="I15" i="1"/>
  <c r="J15" i="1"/>
  <c r="K15" i="1"/>
  <c r="L15" i="1"/>
  <c r="N15" i="1"/>
  <c r="P15" i="1"/>
  <c r="S15" i="1"/>
  <c r="T15" i="1"/>
  <c r="Z15" i="1"/>
  <c r="AA15" i="1"/>
  <c r="AC15" i="1"/>
  <c r="AD15" i="1"/>
  <c r="AE15" i="1"/>
  <c r="AF15" i="1"/>
  <c r="AG15" i="1"/>
  <c r="C16" i="1"/>
  <c r="D16" i="1" s="1"/>
  <c r="E16" i="1" s="1"/>
  <c r="C18" i="1"/>
  <c r="O18" i="1" s="1"/>
  <c r="AH18" i="1" s="1"/>
  <c r="AI18" i="1" s="1"/>
  <c r="D18" i="1"/>
  <c r="E18" i="1"/>
  <c r="F18" i="1"/>
  <c r="G18" i="1"/>
  <c r="I18" i="1"/>
  <c r="J18" i="1"/>
  <c r="K18" i="1"/>
  <c r="L18" i="1"/>
  <c r="M18" i="1"/>
  <c r="N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C19" i="1"/>
  <c r="D19" i="1"/>
  <c r="O19" i="1" s="1"/>
  <c r="AH19" i="1" s="1"/>
  <c r="AI19" i="1" s="1"/>
  <c r="E19" i="1"/>
  <c r="F19" i="1"/>
  <c r="G19" i="1"/>
  <c r="H19" i="1"/>
  <c r="I19" i="1"/>
  <c r="J19" i="1"/>
  <c r="K19" i="1"/>
  <c r="L19" i="1"/>
  <c r="M19" i="1"/>
  <c r="N19" i="1"/>
  <c r="P19" i="1"/>
  <c r="Q19" i="1"/>
  <c r="R19" i="1"/>
  <c r="S19" i="1"/>
  <c r="T19" i="1"/>
  <c r="U19" i="1"/>
  <c r="V19" i="1"/>
  <c r="W19" i="1"/>
  <c r="X19" i="1"/>
  <c r="Y19" i="1"/>
  <c r="Z19" i="1"/>
  <c r="AA19" i="1"/>
  <c r="C20" i="1"/>
  <c r="D20" i="1"/>
  <c r="O20" i="1" s="1"/>
  <c r="E20" i="1"/>
  <c r="F20" i="1"/>
  <c r="F22" i="1" s="1"/>
  <c r="G20" i="1"/>
  <c r="H20" i="1"/>
  <c r="I20" i="1"/>
  <c r="J20" i="1"/>
  <c r="J22" i="1" s="1"/>
  <c r="K20" i="1"/>
  <c r="L20" i="1"/>
  <c r="M20" i="1"/>
  <c r="N20" i="1"/>
  <c r="N22" i="1" s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C21" i="1"/>
  <c r="C22" i="1" s="1"/>
  <c r="D21" i="1"/>
  <c r="E21" i="1"/>
  <c r="F21" i="1"/>
  <c r="G21" i="1"/>
  <c r="G22" i="1" s="1"/>
  <c r="H21" i="1"/>
  <c r="I21" i="1"/>
  <c r="J21" i="1"/>
  <c r="K21" i="1"/>
  <c r="K22" i="1" s="1"/>
  <c r="L21" i="1"/>
  <c r="M21" i="1"/>
  <c r="N21" i="1"/>
  <c r="O21" i="1"/>
  <c r="P21" i="1"/>
  <c r="P22" i="1" s="1"/>
  <c r="Q21" i="1"/>
  <c r="R21" i="1"/>
  <c r="S21" i="1"/>
  <c r="S22" i="1" s="1"/>
  <c r="T21" i="1"/>
  <c r="T22" i="1" s="1"/>
  <c r="U21" i="1"/>
  <c r="V21" i="1"/>
  <c r="W21" i="1"/>
  <c r="W22" i="1" s="1"/>
  <c r="X21" i="1"/>
  <c r="X22" i="1" s="1"/>
  <c r="Y21" i="1"/>
  <c r="Z21" i="1"/>
  <c r="AA21" i="1"/>
  <c r="AA22" i="1" s="1"/>
  <c r="AB21" i="1"/>
  <c r="AB22" i="1" s="1"/>
  <c r="AC21" i="1"/>
  <c r="AD21" i="1"/>
  <c r="AH21" i="1"/>
  <c r="B22" i="1"/>
  <c r="D22" i="1"/>
  <c r="E22" i="1"/>
  <c r="H22" i="1"/>
  <c r="I22" i="1"/>
  <c r="L22" i="1"/>
  <c r="M22" i="1"/>
  <c r="Q22" i="1"/>
  <c r="R22" i="1"/>
  <c r="U22" i="1"/>
  <c r="V22" i="1"/>
  <c r="Y22" i="1"/>
  <c r="Z22" i="1"/>
  <c r="AC22" i="1"/>
  <c r="AD22" i="1"/>
  <c r="AE22" i="1"/>
  <c r="AF22" i="1"/>
  <c r="AG22" i="1"/>
  <c r="B23" i="1"/>
  <c r="E25" i="1"/>
  <c r="F25" i="1"/>
  <c r="G25" i="1"/>
  <c r="I25" i="1"/>
  <c r="J25" i="1"/>
  <c r="K25" i="1"/>
  <c r="L25" i="1"/>
  <c r="M25" i="1"/>
  <c r="N25" i="1"/>
  <c r="O25" i="1"/>
  <c r="C26" i="1"/>
  <c r="D26" i="1"/>
  <c r="U28" i="1"/>
  <c r="V28" i="1"/>
  <c r="W28" i="1"/>
  <c r="X28" i="1"/>
  <c r="Y28" i="1" s="1"/>
  <c r="Z28" i="1" s="1"/>
  <c r="AA28" i="1" s="1"/>
  <c r="C29" i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P29" i="1" s="1"/>
  <c r="Q29" i="1" s="1"/>
  <c r="R29" i="1" s="1"/>
  <c r="S29" i="1" s="1"/>
  <c r="T29" i="1" s="1"/>
  <c r="U29" i="1" s="1"/>
  <c r="C31" i="1"/>
  <c r="D31" i="1"/>
  <c r="E31" i="1"/>
  <c r="F31" i="1"/>
  <c r="G31" i="1"/>
  <c r="H31" i="1"/>
  <c r="I31" i="1"/>
  <c r="J31" i="1"/>
  <c r="K31" i="1"/>
  <c r="L31" i="1"/>
  <c r="M31" i="1"/>
  <c r="N31" i="1"/>
  <c r="C32" i="1"/>
  <c r="B38" i="1"/>
  <c r="N41" i="1" s="1"/>
  <c r="P41" i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AD41" i="1" s="1"/>
  <c r="AE41" i="1" s="1"/>
  <c r="AF41" i="1" s="1"/>
  <c r="AG41" i="1" s="1"/>
  <c r="C44" i="1"/>
  <c r="D44" i="1" s="1"/>
  <c r="E44" i="1" s="1"/>
  <c r="F44" i="1" s="1"/>
  <c r="G44" i="1" s="1"/>
  <c r="H44" i="1" s="1"/>
  <c r="I44" i="1" s="1"/>
  <c r="J44" i="1" s="1"/>
  <c r="K44" i="1" s="1"/>
  <c r="L44" i="1" s="1"/>
  <c r="M44" i="1" s="1"/>
  <c r="N44" i="1" s="1"/>
  <c r="AB28" i="1" l="1"/>
  <c r="B39" i="1"/>
  <c r="B9" i="1" s="1"/>
  <c r="P44" i="1"/>
  <c r="Q44" i="1" s="1"/>
  <c r="R44" i="1" s="1"/>
  <c r="S44" i="1" s="1"/>
  <c r="T44" i="1" s="1"/>
  <c r="U44" i="1" s="1"/>
  <c r="V44" i="1" s="1"/>
  <c r="W44" i="1" s="1"/>
  <c r="X44" i="1" s="1"/>
  <c r="Y44" i="1" s="1"/>
  <c r="Z44" i="1" s="1"/>
  <c r="AA44" i="1" s="1"/>
  <c r="AB44" i="1" s="1"/>
  <c r="AC44" i="1" s="1"/>
  <c r="AD44" i="1" s="1"/>
  <c r="AE44" i="1" s="1"/>
  <c r="AF44" i="1" s="1"/>
  <c r="AG44" i="1" s="1"/>
  <c r="E26" i="1"/>
  <c r="F26" i="1" s="1"/>
  <c r="G26" i="1" s="1"/>
  <c r="H26" i="1" s="1"/>
  <c r="I26" i="1" s="1"/>
  <c r="J26" i="1" s="1"/>
  <c r="K26" i="1" s="1"/>
  <c r="L26" i="1" s="1"/>
  <c r="M26" i="1" s="1"/>
  <c r="N26" i="1" s="1"/>
  <c r="F16" i="1"/>
  <c r="U15" i="1"/>
  <c r="V10" i="1"/>
  <c r="O31" i="1"/>
  <c r="V29" i="1"/>
  <c r="W29" i="1" s="1"/>
  <c r="X29" i="1" s="1"/>
  <c r="Y29" i="1" s="1"/>
  <c r="Z29" i="1" s="1"/>
  <c r="AA29" i="1" s="1"/>
  <c r="R10" i="1"/>
  <c r="R15" i="1" s="1"/>
  <c r="Q15" i="1"/>
  <c r="N40" i="1"/>
  <c r="P40" i="1" s="1"/>
  <c r="D32" i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C23" i="1"/>
  <c r="AH22" i="1"/>
  <c r="AH11" i="1"/>
  <c r="AI11" i="1" s="1"/>
  <c r="AI21" i="1"/>
  <c r="O14" i="1"/>
  <c r="AH14" i="1" s="1"/>
  <c r="AI14" i="1" s="1"/>
  <c r="AH20" i="1"/>
  <c r="AI20" i="1" s="1"/>
  <c r="D23" i="1" l="1"/>
  <c r="C34" i="1"/>
  <c r="AC28" i="1"/>
  <c r="AB29" i="1"/>
  <c r="W10" i="1"/>
  <c r="V15" i="1"/>
  <c r="AI22" i="1"/>
  <c r="AH23" i="1"/>
  <c r="P25" i="1"/>
  <c r="Q40" i="1"/>
  <c r="G16" i="1"/>
  <c r="AH28" i="1"/>
  <c r="X10" i="1" l="1"/>
  <c r="W15" i="1"/>
  <c r="D34" i="1"/>
  <c r="E23" i="1"/>
  <c r="H16" i="1"/>
  <c r="Q25" i="1"/>
  <c r="Q31" i="1" s="1"/>
  <c r="R40" i="1"/>
  <c r="AC29" i="1"/>
  <c r="AD29" i="1" s="1"/>
  <c r="AE29" i="1" s="1"/>
  <c r="AF29" i="1" s="1"/>
  <c r="AG29" i="1" s="1"/>
  <c r="P31" i="1"/>
  <c r="P26" i="1"/>
  <c r="P32" i="1" l="1"/>
  <c r="I16" i="1"/>
  <c r="Q26" i="1"/>
  <c r="R25" i="1"/>
  <c r="S40" i="1"/>
  <c r="E34" i="1"/>
  <c r="F23" i="1"/>
  <c r="Y10" i="1"/>
  <c r="X15" i="1"/>
  <c r="Q32" i="1"/>
  <c r="S25" i="1" l="1"/>
  <c r="S31" i="1" s="1"/>
  <c r="T40" i="1"/>
  <c r="J16" i="1"/>
  <c r="Y15" i="1"/>
  <c r="AH15" i="1" s="1"/>
  <c r="AH10" i="1"/>
  <c r="R31" i="1"/>
  <c r="R32" i="1" s="1"/>
  <c r="G23" i="1"/>
  <c r="F34" i="1"/>
  <c r="R26" i="1"/>
  <c r="S26" i="1" s="1"/>
  <c r="K16" i="1" l="1"/>
  <c r="AI10" i="1"/>
  <c r="AH16" i="1"/>
  <c r="T25" i="1"/>
  <c r="T26" i="1" s="1"/>
  <c r="U40" i="1"/>
  <c r="H23" i="1"/>
  <c r="G34" i="1"/>
  <c r="S32" i="1"/>
  <c r="I23" i="1" l="1"/>
  <c r="H34" i="1"/>
  <c r="U25" i="1"/>
  <c r="U31" i="1" s="1"/>
  <c r="U32" i="1" s="1"/>
  <c r="V40" i="1"/>
  <c r="T31" i="1"/>
  <c r="T32" i="1" s="1"/>
  <c r="L16" i="1"/>
  <c r="M16" i="1" l="1"/>
  <c r="J23" i="1"/>
  <c r="I34" i="1"/>
  <c r="V25" i="1"/>
  <c r="V31" i="1" s="1"/>
  <c r="V32" i="1" s="1"/>
  <c r="W40" i="1"/>
  <c r="U26" i="1"/>
  <c r="V26" i="1" l="1"/>
  <c r="K23" i="1"/>
  <c r="J34" i="1"/>
  <c r="X40" i="1"/>
  <c r="W25" i="1"/>
  <c r="W31" i="1" s="1"/>
  <c r="W32" i="1" s="1"/>
  <c r="N16" i="1"/>
  <c r="X25" i="1" l="1"/>
  <c r="X31" i="1" s="1"/>
  <c r="X32" i="1" s="1"/>
  <c r="Y40" i="1"/>
  <c r="P16" i="1"/>
  <c r="L23" i="1"/>
  <c r="K34" i="1"/>
  <c r="W26" i="1"/>
  <c r="X26" i="1" s="1"/>
  <c r="Q16" i="1" l="1"/>
  <c r="Y25" i="1"/>
  <c r="Y31" i="1" s="1"/>
  <c r="Y32" i="1" s="1"/>
  <c r="Z40" i="1"/>
  <c r="M23" i="1"/>
  <c r="L34" i="1"/>
  <c r="N23" i="1" l="1"/>
  <c r="M34" i="1"/>
  <c r="R16" i="1"/>
  <c r="Z25" i="1"/>
  <c r="Z31" i="1" s="1"/>
  <c r="Z32" i="1" s="1"/>
  <c r="AA40" i="1"/>
  <c r="Y26" i="1"/>
  <c r="Z26" i="1" s="1"/>
  <c r="S16" i="1" l="1"/>
  <c r="AA25" i="1"/>
  <c r="AA31" i="1" s="1"/>
  <c r="AA32" i="1" s="1"/>
  <c r="AB40" i="1"/>
  <c r="P23" i="1"/>
  <c r="N34" i="1"/>
  <c r="T16" i="1" l="1"/>
  <c r="Q23" i="1"/>
  <c r="P34" i="1"/>
  <c r="AC40" i="1"/>
  <c r="AB25" i="1"/>
  <c r="AB31" i="1" s="1"/>
  <c r="AB32" i="1" s="1"/>
  <c r="AA26" i="1"/>
  <c r="AB26" i="1" l="1"/>
  <c r="R23" i="1"/>
  <c r="Q34" i="1"/>
  <c r="AC25" i="1"/>
  <c r="AC31" i="1" s="1"/>
  <c r="AC32" i="1" s="1"/>
  <c r="AD40" i="1"/>
  <c r="U16" i="1"/>
  <c r="V16" i="1" l="1"/>
  <c r="S23" i="1"/>
  <c r="R34" i="1"/>
  <c r="AD25" i="1"/>
  <c r="AD31" i="1" s="1"/>
  <c r="AD32" i="1" s="1"/>
  <c r="AE40" i="1"/>
  <c r="AC26" i="1"/>
  <c r="AD26" i="1" s="1"/>
  <c r="T23" i="1" l="1"/>
  <c r="S34" i="1"/>
  <c r="AF40" i="1"/>
  <c r="AE25" i="1"/>
  <c r="AE31" i="1" s="1"/>
  <c r="AE32" i="1" s="1"/>
  <c r="W16" i="1"/>
  <c r="AF25" i="1" l="1"/>
  <c r="AF31" i="1" s="1"/>
  <c r="AF32" i="1" s="1"/>
  <c r="AG40" i="1"/>
  <c r="AG25" i="1" s="1"/>
  <c r="X16" i="1"/>
  <c r="U23" i="1"/>
  <c r="T34" i="1"/>
  <c r="AE26" i="1"/>
  <c r="AF26" i="1" s="1"/>
  <c r="AG26" i="1" l="1"/>
  <c r="Y16" i="1"/>
  <c r="AG31" i="1"/>
  <c r="AH25" i="1"/>
  <c r="V23" i="1"/>
  <c r="U34" i="1"/>
  <c r="AG32" i="1" l="1"/>
  <c r="AH31" i="1"/>
  <c r="W23" i="1"/>
  <c r="V34" i="1"/>
  <c r="Z16" i="1"/>
  <c r="AH34" i="1"/>
  <c r="F1" i="1" l="1"/>
  <c r="AH35" i="1"/>
  <c r="F2" i="1" s="1"/>
  <c r="AJ35" i="1"/>
  <c r="F3" i="1" s="1"/>
  <c r="X23" i="1"/>
  <c r="W34" i="1"/>
  <c r="AA16" i="1"/>
  <c r="Y23" i="1" l="1"/>
  <c r="X34" i="1"/>
  <c r="AB16" i="1"/>
  <c r="AC16" i="1" l="1"/>
  <c r="Z23" i="1"/>
  <c r="Y34" i="1"/>
  <c r="AA23" i="1" l="1"/>
  <c r="Z34" i="1"/>
  <c r="AD16" i="1"/>
  <c r="AE16" i="1" l="1"/>
  <c r="AB23" i="1"/>
  <c r="AA34" i="1"/>
  <c r="AC23" i="1" l="1"/>
  <c r="AB34" i="1"/>
  <c r="AF16" i="1"/>
  <c r="AG16" i="1" l="1"/>
  <c r="AD23" i="1"/>
  <c r="AC34" i="1"/>
  <c r="AE23" i="1" l="1"/>
  <c r="AD34" i="1"/>
  <c r="AF23" i="1" l="1"/>
  <c r="AE34" i="1"/>
  <c r="AG23" i="1" l="1"/>
  <c r="AG34" i="1" s="1"/>
  <c r="AF34" i="1"/>
</calcChain>
</file>

<file path=xl/comments1.xml><?xml version="1.0" encoding="utf-8"?>
<comments xmlns="http://schemas.openxmlformats.org/spreadsheetml/2006/main">
  <authors>
    <author>Mariela Schenone</author>
    <author>Mariela</author>
  </authors>
  <commentList>
    <comment ref="H19" authorId="0">
      <text>
        <r>
          <rPr>
            <b/>
            <sz val="9"/>
            <color indexed="81"/>
            <rFont val="Tahoma"/>
            <family val="2"/>
          </rPr>
          <t>Mariela Schenone:</t>
        </r>
        <r>
          <rPr>
            <sz val="9"/>
            <color indexed="81"/>
            <rFont val="Tahoma"/>
            <family val="2"/>
          </rPr>
          <t xml:space="preserve">
Urdampilleta - Cálculo Estructural - ¿Adicional?</t>
        </r>
      </text>
    </comment>
    <comment ref="J21" authorId="1">
      <text>
        <r>
          <rPr>
            <b/>
            <sz val="8"/>
            <color indexed="81"/>
            <rFont val="Tahoma"/>
            <family val="2"/>
          </rPr>
          <t>Mariela:</t>
        </r>
        <r>
          <rPr>
            <sz val="8"/>
            <color indexed="81"/>
            <rFont val="Tahoma"/>
            <family val="2"/>
          </rPr>
          <t xml:space="preserve">
Incluye pago de GMP y BPS</t>
        </r>
      </text>
    </comment>
    <comment ref="I28" authorId="1">
      <text>
        <r>
          <rPr>
            <b/>
            <sz val="8"/>
            <color indexed="81"/>
            <rFont val="Tahoma"/>
            <family val="2"/>
          </rPr>
          <t>Mariela:</t>
        </r>
        <r>
          <rPr>
            <sz val="8"/>
            <color indexed="81"/>
            <rFont val="Tahoma"/>
            <family val="2"/>
          </rPr>
          <t xml:space="preserve">
Urdampilleta</t>
        </r>
      </text>
    </comment>
    <comment ref="M40" authorId="0">
      <text>
        <r>
          <rPr>
            <b/>
            <sz val="9"/>
            <color indexed="81"/>
            <rFont val="Tahoma"/>
            <family val="2"/>
          </rPr>
          <t>MS: Índice Actualizado Provisorio Agosto/2011</t>
        </r>
      </text>
    </comment>
    <comment ref="M41" authorId="0">
      <text>
        <r>
          <rPr>
            <b/>
            <sz val="9"/>
            <color indexed="81"/>
            <rFont val="Tahoma"/>
            <family val="2"/>
          </rPr>
          <t>MS: Índice Actualizado Provisorio Agosto/2011</t>
        </r>
      </text>
    </comment>
  </commentList>
</comments>
</file>

<file path=xl/sharedStrings.xml><?xml version="1.0" encoding="utf-8"?>
<sst xmlns="http://schemas.openxmlformats.org/spreadsheetml/2006/main" count="52" uniqueCount="45">
  <si>
    <t>coeficiente</t>
  </si>
  <si>
    <t>mes</t>
  </si>
  <si>
    <t>ICC MO</t>
  </si>
  <si>
    <t>ICC Materiales</t>
  </si>
  <si>
    <t>Base</t>
  </si>
  <si>
    <t xml:space="preserve">Inflación acumulada en 1 año </t>
  </si>
  <si>
    <t>Inflación mensual supuesta</t>
  </si>
  <si>
    <t>U$S/m2</t>
  </si>
  <si>
    <t>Variación costo del emprendimiento</t>
  </si>
  <si>
    <t>costo unitario proyectado</t>
  </si>
  <si>
    <t>SALDO</t>
  </si>
  <si>
    <t xml:space="preserve">Nota: No se incluye el Impuesto a los Bienes Personales </t>
  </si>
  <si>
    <t>costo total proyectado</t>
  </si>
  <si>
    <t>Acumulado</t>
  </si>
  <si>
    <t>Mes</t>
  </si>
  <si>
    <t>Diferencia de cambio</t>
  </si>
  <si>
    <t>Mejoras y adicionales (con IVA)</t>
  </si>
  <si>
    <t>Mayores costos (con IVA)</t>
  </si>
  <si>
    <t>Total mes</t>
  </si>
  <si>
    <t>Impuestos (IVA, IDB, GMP, IIBB)</t>
  </si>
  <si>
    <t>Honorarios</t>
  </si>
  <si>
    <t>Gastos transferencia tierra, Otros gastos</t>
  </si>
  <si>
    <t>Costo de construcción</t>
  </si>
  <si>
    <t>EGRESOS</t>
  </si>
  <si>
    <t>Intereses cobrados por mora</t>
  </si>
  <si>
    <t>Depósitos no identificados</t>
  </si>
  <si>
    <t>Aportes Equipamiento</t>
  </si>
  <si>
    <t>Aportes por ajustes</t>
  </si>
  <si>
    <t>Aportes monto básico</t>
  </si>
  <si>
    <t>INGRESOS</t>
  </si>
  <si>
    <t>% mensual de inflación supuesto para simulación</t>
  </si>
  <si>
    <t>TOTAL</t>
  </si>
  <si>
    <t>Adhesión</t>
  </si>
  <si>
    <t>Parida U$S supuesta para simulación</t>
  </si>
  <si>
    <t>Dólar base</t>
  </si>
  <si>
    <t>Fecha confección planilla:</t>
  </si>
  <si>
    <t>m2</t>
  </si>
  <si>
    <t>Sup venta</t>
  </si>
  <si>
    <t>U$S/M2</t>
  </si>
  <si>
    <t>Costo M2 Proyectado:</t>
  </si>
  <si>
    <r>
      <t xml:space="preserve">Contrato de Fideicomiso </t>
    </r>
    <r>
      <rPr>
        <b/>
        <sz val="9"/>
        <rFont val="Arial"/>
        <family val="2"/>
      </rPr>
      <t>(Junio 2010)             U$S</t>
    </r>
  </si>
  <si>
    <t>Datos de Tesorería al :</t>
  </si>
  <si>
    <t>Variación Costo:</t>
  </si>
  <si>
    <t>Costo Total U$S:</t>
  </si>
  <si>
    <r>
      <t xml:space="preserve">Q del Polo- </t>
    </r>
    <r>
      <rPr>
        <b/>
        <sz val="12"/>
        <rFont val="Arial"/>
        <family val="2"/>
      </rPr>
      <t>Simulación Flujos Fiduciantes "B"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</si>
</sst>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%"/>
    <numFmt numFmtId="165" formatCode="#,##0_ ;[Red]\-#,##0\ "/>
    <numFmt numFmtId="167" formatCode="_ * #,##0_ ;_ * \-#,##0_ ;_ * &quot;-&quot;??_ ;_ @_ "/>
    <numFmt numFmtId="168" formatCode="#,##0.00_ ;\-#,##0.00\ "/>
    <numFmt numFmtId="169" formatCode="_-* #,##0\ _€_-;\-* #,##0\ _€_-;_-* &quot;-&quot;??\ _€_-;_-@_-"/>
    <numFmt numFmtId="170" formatCode="d\-mmm\-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i/>
      <sz val="10"/>
      <color indexed="12"/>
      <name val="Arial"/>
      <family val="2"/>
    </font>
    <font>
      <b/>
      <i/>
      <sz val="10"/>
      <name val="Arial"/>
      <family val="2"/>
    </font>
    <font>
      <sz val="9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Fill="1"/>
    <xf numFmtId="0" fontId="0" fillId="2" borderId="0" xfId="0" applyFill="1"/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10" fontId="3" fillId="3" borderId="1" xfId="0" applyNumberFormat="1" applyFont="1" applyFill="1" applyBorder="1"/>
    <xf numFmtId="10" fontId="3" fillId="0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ill="1" applyBorder="1" applyAlignment="1"/>
    <xf numFmtId="0" fontId="0" fillId="2" borderId="0" xfId="0" applyFill="1" applyBorder="1" applyAlignment="1">
      <alignment horizontal="center"/>
    </xf>
    <xf numFmtId="0" fontId="0" fillId="2" borderId="4" xfId="0" applyFill="1" applyBorder="1" applyAlignment="1"/>
    <xf numFmtId="0" fontId="0" fillId="0" borderId="4" xfId="0" applyFill="1" applyBorder="1" applyAlignment="1"/>
    <xf numFmtId="0" fontId="2" fillId="2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0" fontId="4" fillId="5" borderId="6" xfId="0" applyNumberFormat="1" applyFont="1" applyFill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0" fillId="2" borderId="0" xfId="0" applyFill="1" applyAlignment="1">
      <alignment horizontal="right"/>
    </xf>
    <xf numFmtId="10" fontId="4" fillId="6" borderId="0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 vertical="center" wrapText="1"/>
    </xf>
    <xf numFmtId="3" fontId="0" fillId="0" borderId="0" xfId="0" applyNumberFormat="1" applyFill="1"/>
    <xf numFmtId="3" fontId="0" fillId="2" borderId="0" xfId="0" applyNumberFormat="1" applyFill="1"/>
    <xf numFmtId="3" fontId="4" fillId="7" borderId="5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10" fontId="4" fillId="7" borderId="5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6" fillId="6" borderId="0" xfId="0" applyFont="1" applyFill="1" applyBorder="1" applyAlignment="1">
      <alignment vertical="center" wrapText="1"/>
    </xf>
    <xf numFmtId="0" fontId="0" fillId="6" borderId="0" xfId="0" applyFill="1"/>
    <xf numFmtId="3" fontId="8" fillId="2" borderId="0" xfId="0" applyNumberFormat="1" applyFont="1" applyFill="1"/>
    <xf numFmtId="0" fontId="9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4" fillId="7" borderId="5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8" borderId="5" xfId="0" applyNumberFormat="1" applyFont="1" applyFill="1" applyBorder="1" applyAlignment="1">
      <alignment horizontal="right" vertical="center"/>
    </xf>
    <xf numFmtId="3" fontId="2" fillId="8" borderId="5" xfId="0" applyNumberFormat="1" applyFont="1" applyFill="1" applyBorder="1" applyAlignment="1">
      <alignment horizontal="right" vertical="center"/>
    </xf>
    <xf numFmtId="0" fontId="4" fillId="6" borderId="0" xfId="0" applyFont="1" applyFill="1" applyBorder="1" applyAlignment="1">
      <alignment horizontal="center" vertical="center"/>
    </xf>
    <xf numFmtId="0" fontId="10" fillId="2" borderId="0" xfId="0" applyFont="1" applyFill="1"/>
    <xf numFmtId="3" fontId="7" fillId="0" borderId="0" xfId="0" applyNumberFormat="1" applyFont="1" applyFill="1" applyAlignment="1">
      <alignment horizontal="center"/>
    </xf>
    <xf numFmtId="165" fontId="7" fillId="6" borderId="10" xfId="0" applyNumberFormat="1" applyFont="1" applyFill="1" applyBorder="1" applyAlignment="1">
      <alignment horizontal="center" wrapText="1"/>
    </xf>
    <xf numFmtId="3" fontId="2" fillId="6" borderId="0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right" vertical="center"/>
    </xf>
    <xf numFmtId="3" fontId="0" fillId="0" borderId="0" xfId="0" applyNumberFormat="1" applyFill="1" applyBorder="1"/>
    <xf numFmtId="9" fontId="0" fillId="6" borderId="0" xfId="0" applyNumberFormat="1" applyFill="1" applyBorder="1"/>
    <xf numFmtId="3" fontId="7" fillId="6" borderId="0" xfId="0" applyNumberFormat="1" applyFont="1" applyFill="1" applyAlignment="1">
      <alignment horizontal="center"/>
    </xf>
    <xf numFmtId="165" fontId="7" fillId="6" borderId="9" xfId="0" applyNumberFormat="1" applyFont="1" applyFill="1" applyBorder="1" applyAlignment="1">
      <alignment horizontal="center" wrapText="1"/>
    </xf>
    <xf numFmtId="165" fontId="2" fillId="3" borderId="1" xfId="0" applyNumberFormat="1" applyFont="1" applyFill="1" applyBorder="1" applyAlignment="1">
      <alignment horizontal="right" vertical="center"/>
    </xf>
    <xf numFmtId="165" fontId="2" fillId="0" borderId="11" xfId="0" applyNumberFormat="1" applyFont="1" applyFill="1" applyBorder="1" applyAlignment="1">
      <alignment horizontal="right" vertical="center"/>
    </xf>
    <xf numFmtId="165" fontId="2" fillId="8" borderId="12" xfId="0" applyNumberFormat="1" applyFont="1" applyFill="1" applyBorder="1" applyAlignment="1">
      <alignment horizontal="right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right" vertical="center"/>
    </xf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3" fontId="2" fillId="2" borderId="1" xfId="0" applyNumberFormat="1" applyFont="1" applyFill="1" applyBorder="1"/>
    <xf numFmtId="165" fontId="4" fillId="3" borderId="1" xfId="0" applyNumberFormat="1" applyFont="1" applyFill="1" applyBorder="1" applyAlignment="1">
      <alignment horizontal="right" vertical="center"/>
    </xf>
    <xf numFmtId="165" fontId="4" fillId="0" borderId="11" xfId="0" applyNumberFormat="1" applyFont="1" applyFill="1" applyBorder="1" applyAlignment="1">
      <alignment horizontal="right" vertical="center"/>
    </xf>
    <xf numFmtId="165" fontId="4" fillId="8" borderId="14" xfId="0" applyNumberFormat="1" applyFont="1" applyFill="1" applyBorder="1" applyAlignment="1">
      <alignment horizontal="right" vertical="center"/>
    </xf>
    <xf numFmtId="0" fontId="7" fillId="6" borderId="0" xfId="0" applyFont="1" applyFill="1" applyAlignment="1">
      <alignment horizontal="center"/>
    </xf>
    <xf numFmtId="3" fontId="2" fillId="6" borderId="0" xfId="0" applyNumberFormat="1" applyFont="1" applyFill="1" applyBorder="1"/>
    <xf numFmtId="3" fontId="0" fillId="6" borderId="0" xfId="0" applyNumberFormat="1" applyFill="1" applyBorder="1"/>
    <xf numFmtId="3" fontId="2" fillId="0" borderId="0" xfId="0" applyNumberFormat="1" applyFont="1" applyFill="1" applyBorder="1"/>
    <xf numFmtId="3" fontId="2" fillId="3" borderId="1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3" fontId="2" fillId="8" borderId="12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vertical="center"/>
    </xf>
    <xf numFmtId="3" fontId="4" fillId="8" borderId="14" xfId="0" applyNumberFormat="1" applyFont="1" applyFill="1" applyBorder="1" applyAlignment="1">
      <alignment vertical="center"/>
    </xf>
    <xf numFmtId="3" fontId="4" fillId="6" borderId="0" xfId="0" applyNumberFormat="1" applyFont="1" applyFill="1" applyBorder="1"/>
    <xf numFmtId="3" fontId="2" fillId="0" borderId="0" xfId="0" applyNumberFormat="1" applyFont="1" applyFill="1" applyBorder="1" applyAlignment="1">
      <alignment horizontal="right" vertical="center"/>
    </xf>
    <xf numFmtId="10" fontId="7" fillId="6" borderId="0" xfId="0" applyNumberFormat="1" applyFont="1" applyFill="1" applyAlignment="1">
      <alignment horizontal="center"/>
    </xf>
    <xf numFmtId="0" fontId="2" fillId="6" borderId="0" xfId="0" applyFont="1" applyFill="1" applyBorder="1"/>
    <xf numFmtId="3" fontId="2" fillId="3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3" fontId="2" fillId="6" borderId="0" xfId="0" applyNumberFormat="1" applyFont="1" applyFill="1" applyAlignment="1">
      <alignment horizontal="center"/>
    </xf>
    <xf numFmtId="3" fontId="2" fillId="0" borderId="1" xfId="0" applyNumberFormat="1" applyFont="1" applyFill="1" applyBorder="1"/>
    <xf numFmtId="3" fontId="4" fillId="0" borderId="11" xfId="0" applyNumberFormat="1" applyFont="1" applyFill="1" applyBorder="1" applyAlignment="1">
      <alignment horizontal="right" vertical="center"/>
    </xf>
    <xf numFmtId="3" fontId="4" fillId="8" borderId="14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/>
    </xf>
    <xf numFmtId="3" fontId="10" fillId="6" borderId="0" xfId="0" applyNumberFormat="1" applyFont="1" applyFill="1" applyBorder="1"/>
    <xf numFmtId="3" fontId="4" fillId="0" borderId="15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3" fontId="0" fillId="2" borderId="0" xfId="0" applyNumberForma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4" fillId="2" borderId="1" xfId="0" applyNumberFormat="1" applyFont="1" applyFill="1" applyBorder="1"/>
    <xf numFmtId="3" fontId="2" fillId="3" borderId="16" xfId="0" applyNumberFormat="1" applyFont="1" applyFill="1" applyBorder="1" applyAlignment="1">
      <alignment horizontal="right" vertical="center"/>
    </xf>
    <xf numFmtId="3" fontId="2" fillId="0" borderId="16" xfId="0" applyNumberFormat="1" applyFont="1" applyFill="1" applyBorder="1" applyAlignment="1">
      <alignment horizontal="right" vertical="center"/>
    </xf>
    <xf numFmtId="3" fontId="2" fillId="8" borderId="17" xfId="0" applyNumberFormat="1" applyFont="1" applyFill="1" applyBorder="1" applyAlignment="1">
      <alignment horizontal="right" vertical="center"/>
    </xf>
    <xf numFmtId="3" fontId="2" fillId="8" borderId="18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3" fontId="4" fillId="8" borderId="20" xfId="0" applyNumberFormat="1" applyFont="1" applyFill="1" applyBorder="1" applyAlignment="1">
      <alignment horizontal="right" vertical="center"/>
    </xf>
    <xf numFmtId="3" fontId="4" fillId="9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3" fontId="4" fillId="3" borderId="11" xfId="0" applyNumberFormat="1" applyFont="1" applyFill="1" applyBorder="1" applyAlignment="1">
      <alignment horizontal="right" vertical="center"/>
    </xf>
    <xf numFmtId="3" fontId="4" fillId="8" borderId="21" xfId="0" applyNumberFormat="1" applyFont="1" applyFill="1" applyBorder="1" applyAlignment="1">
      <alignment horizontal="right" vertical="center"/>
    </xf>
    <xf numFmtId="3" fontId="4" fillId="10" borderId="13" xfId="0" applyNumberFormat="1" applyFont="1" applyFill="1" applyBorder="1" applyAlignment="1">
      <alignment horizontal="right" vertical="center"/>
    </xf>
    <xf numFmtId="3" fontId="4" fillId="11" borderId="13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center"/>
    </xf>
    <xf numFmtId="3" fontId="4" fillId="8" borderId="7" xfId="0" applyNumberFormat="1" applyFont="1" applyFill="1" applyBorder="1" applyAlignment="1">
      <alignment horizontal="right" vertical="center"/>
    </xf>
    <xf numFmtId="3" fontId="4" fillId="12" borderId="13" xfId="0" applyNumberFormat="1" applyFont="1" applyFill="1" applyBorder="1" applyAlignment="1">
      <alignment horizontal="right" vertical="center"/>
    </xf>
    <xf numFmtId="3" fontId="7" fillId="6" borderId="0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left" vertical="center"/>
    </xf>
    <xf numFmtId="3" fontId="10" fillId="2" borderId="0" xfId="0" applyNumberFormat="1" applyFont="1" applyFill="1" applyAlignment="1">
      <alignment horizontal="right"/>
    </xf>
    <xf numFmtId="0" fontId="2" fillId="2" borderId="13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3" fontId="4" fillId="8" borderId="17" xfId="0" applyNumberFormat="1" applyFont="1" applyFill="1" applyBorder="1" applyAlignment="1">
      <alignment horizontal="right" vertical="center"/>
    </xf>
    <xf numFmtId="3" fontId="4" fillId="8" borderId="18" xfId="0" applyNumberFormat="1" applyFont="1" applyFill="1" applyBorder="1" applyAlignment="1">
      <alignment horizontal="right" vertical="center"/>
    </xf>
    <xf numFmtId="0" fontId="4" fillId="6" borderId="13" xfId="0" applyFont="1" applyFill="1" applyBorder="1" applyAlignment="1">
      <alignment horizontal="center"/>
    </xf>
    <xf numFmtId="3" fontId="4" fillId="8" borderId="20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4" fillId="8" borderId="21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10" fontId="7" fillId="6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7" fontId="4" fillId="3" borderId="1" xfId="0" applyNumberFormat="1" applyFont="1" applyFill="1" applyBorder="1" applyAlignment="1">
      <alignment horizontal="center" vertical="center"/>
    </xf>
    <xf numFmtId="17" fontId="4" fillId="0" borderId="11" xfId="0" applyNumberFormat="1" applyFont="1" applyFill="1" applyBorder="1" applyAlignment="1">
      <alignment horizontal="center" vertical="center"/>
    </xf>
    <xf numFmtId="17" fontId="4" fillId="8" borderId="24" xfId="0" applyNumberFormat="1" applyFont="1" applyFill="1" applyBorder="1" applyAlignment="1">
      <alignment horizontal="center" vertical="center"/>
    </xf>
    <xf numFmtId="10" fontId="4" fillId="5" borderId="24" xfId="2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horizontal="center"/>
    </xf>
    <xf numFmtId="0" fontId="2" fillId="0" borderId="0" xfId="0" applyFont="1" applyFill="1"/>
    <xf numFmtId="0" fontId="11" fillId="2" borderId="0" xfId="0" applyFont="1" applyFill="1" applyBorder="1" applyAlignment="1">
      <alignment horizontal="left"/>
    </xf>
    <xf numFmtId="0" fontId="11" fillId="6" borderId="0" xfId="0" applyFont="1" applyFill="1" applyBorder="1" applyAlignment="1">
      <alignment horizontal="left"/>
    </xf>
    <xf numFmtId="0" fontId="11" fillId="6" borderId="0" xfId="2" applyNumberFormat="1" applyFont="1" applyFill="1" applyBorder="1" applyAlignment="1">
      <alignment horizontal="center"/>
    </xf>
    <xf numFmtId="0" fontId="11" fillId="2" borderId="0" xfId="0" applyFont="1" applyFill="1"/>
    <xf numFmtId="9" fontId="2" fillId="2" borderId="0" xfId="2" applyFont="1" applyFill="1"/>
    <xf numFmtId="167" fontId="12" fillId="2" borderId="0" xfId="1" applyNumberFormat="1" applyFont="1" applyFill="1" applyBorder="1"/>
    <xf numFmtId="43" fontId="2" fillId="2" borderId="0" xfId="1" applyFont="1" applyFill="1" applyBorder="1"/>
    <xf numFmtId="0" fontId="13" fillId="6" borderId="0" xfId="0" applyFont="1" applyFill="1" applyBorder="1" applyAlignment="1">
      <alignment vertical="center" wrapText="1"/>
    </xf>
    <xf numFmtId="0" fontId="14" fillId="6" borderId="0" xfId="0" applyFont="1" applyFill="1" applyBorder="1" applyAlignment="1">
      <alignment wrapText="1"/>
    </xf>
    <xf numFmtId="0" fontId="11" fillId="6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168" fontId="4" fillId="3" borderId="25" xfId="1" applyNumberFormat="1" applyFont="1" applyFill="1" applyBorder="1" applyAlignment="1">
      <alignment horizontal="center"/>
    </xf>
    <xf numFmtId="0" fontId="2" fillId="3" borderId="26" xfId="0" applyFont="1" applyFill="1" applyBorder="1" applyAlignment="1">
      <alignment horizontal="right"/>
    </xf>
    <xf numFmtId="14" fontId="16" fillId="6" borderId="0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7" fillId="6" borderId="0" xfId="0" applyFont="1" applyFill="1" applyBorder="1" applyAlignment="1"/>
    <xf numFmtId="3" fontId="8" fillId="6" borderId="0" xfId="0" applyNumberFormat="1" applyFont="1" applyFill="1" applyBorder="1" applyAlignment="1">
      <alignment horizontal="left"/>
    </xf>
    <xf numFmtId="0" fontId="8" fillId="6" borderId="0" xfId="0" applyFont="1" applyFill="1" applyBorder="1" applyAlignment="1"/>
    <xf numFmtId="0" fontId="10" fillId="6" borderId="0" xfId="0" applyFont="1" applyFill="1" applyBorder="1" applyAlignment="1"/>
    <xf numFmtId="169" fontId="18" fillId="7" borderId="1" xfId="1" applyNumberFormat="1" applyFont="1" applyFill="1" applyBorder="1" applyAlignment="1">
      <alignment horizontal="left"/>
    </xf>
    <xf numFmtId="14" fontId="16" fillId="6" borderId="1" xfId="0" applyNumberFormat="1" applyFont="1" applyFill="1" applyBorder="1" applyAlignment="1">
      <alignment horizontal="center"/>
    </xf>
    <xf numFmtId="170" fontId="16" fillId="6" borderId="1" xfId="0" applyNumberFormat="1" applyFont="1" applyFill="1" applyBorder="1" applyAlignment="1">
      <alignment horizontal="left"/>
    </xf>
    <xf numFmtId="0" fontId="7" fillId="6" borderId="3" xfId="0" applyFont="1" applyFill="1" applyBorder="1" applyAlignment="1">
      <alignment wrapText="1"/>
    </xf>
    <xf numFmtId="3" fontId="4" fillId="3" borderId="27" xfId="0" applyNumberFormat="1" applyFont="1" applyFill="1" applyBorder="1" applyAlignment="1">
      <alignment horizontal="center"/>
    </xf>
    <xf numFmtId="0" fontId="4" fillId="3" borderId="28" xfId="0" applyFont="1" applyFill="1" applyBorder="1"/>
    <xf numFmtId="10" fontId="18" fillId="7" borderId="1" xfId="2" applyNumberFormat="1" applyFont="1" applyFill="1" applyBorder="1" applyAlignment="1">
      <alignment horizontal="center"/>
    </xf>
    <xf numFmtId="0" fontId="3" fillId="6" borderId="1" xfId="0" applyFont="1" applyFill="1" applyBorder="1"/>
    <xf numFmtId="0" fontId="20" fillId="6" borderId="0" xfId="0" applyFont="1" applyFill="1" applyBorder="1" applyAlignment="1">
      <alignment horizontal="center" vertical="center" wrapText="1"/>
    </xf>
    <xf numFmtId="169" fontId="18" fillId="7" borderId="1" xfId="1" applyNumberFormat="1" applyFont="1" applyFill="1" applyBorder="1" applyAlignment="1">
      <alignment horizontal="center"/>
    </xf>
    <xf numFmtId="0" fontId="5" fillId="6" borderId="1" xfId="0" applyFont="1" applyFill="1" applyBorder="1"/>
    <xf numFmtId="0" fontId="20" fillId="7" borderId="29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%2010%2011%20PLANILLA%20SIMULACION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ación"/>
      <sheetName val="Tablero de control"/>
      <sheetName val="EGRESOS"/>
      <sheetName val="Resumen"/>
      <sheetName val="Dif. Cbio."/>
      <sheetName val="Apertura costos"/>
      <sheetName val="Anexo 5"/>
      <sheetName val=".."/>
    </sheetNames>
    <sheetDataSet>
      <sheetData sheetId="0"/>
      <sheetData sheetId="1">
        <row r="10">
          <cell r="H10">
            <v>800079.46</v>
          </cell>
          <cell r="I10">
            <v>882598.05370370368</v>
          </cell>
          <cell r="J10">
            <v>224805.22999999998</v>
          </cell>
        </row>
        <row r="14">
          <cell r="I14">
            <v>342</v>
          </cell>
        </row>
        <row r="20">
          <cell r="D20">
            <v>0</v>
          </cell>
          <cell r="O20">
            <v>7118181.8181818174</v>
          </cell>
          <cell r="P20">
            <v>7609090.9090909082</v>
          </cell>
          <cell r="Q20">
            <v>8099999.9999999991</v>
          </cell>
          <cell r="R20">
            <v>8590909.0909090899</v>
          </cell>
          <cell r="S20">
            <v>9081818.1818181816</v>
          </cell>
          <cell r="T20">
            <v>9572727.2727272734</v>
          </cell>
          <cell r="U20">
            <v>10063636.363636365</v>
          </cell>
          <cell r="V20">
            <v>10554545.454545457</v>
          </cell>
          <cell r="W20">
            <v>11045454.545454549</v>
          </cell>
          <cell r="X20">
            <v>11536363.63636364</v>
          </cell>
          <cell r="Y20">
            <v>12027272.727272732</v>
          </cell>
          <cell r="Z20">
            <v>12518181.818181824</v>
          </cell>
          <cell r="AA20">
            <v>13009090.909090916</v>
          </cell>
          <cell r="AB20">
            <v>13500000.000000007</v>
          </cell>
        </row>
        <row r="23">
          <cell r="O23">
            <v>575178</v>
          </cell>
          <cell r="P23">
            <v>627828</v>
          </cell>
          <cell r="Q23">
            <v>680478</v>
          </cell>
          <cell r="R23">
            <v>733128</v>
          </cell>
          <cell r="S23">
            <v>744028</v>
          </cell>
          <cell r="T23">
            <v>747928</v>
          </cell>
          <cell r="U23">
            <v>751828</v>
          </cell>
          <cell r="V23">
            <v>755728</v>
          </cell>
          <cell r="W23">
            <v>759628</v>
          </cell>
          <cell r="X23">
            <v>769528</v>
          </cell>
          <cell r="Y23">
            <v>773428</v>
          </cell>
          <cell r="Z23">
            <v>777328</v>
          </cell>
          <cell r="AA23">
            <v>781228</v>
          </cell>
        </row>
        <row r="26">
          <cell r="D26">
            <v>0</v>
          </cell>
          <cell r="O26">
            <v>2812207</v>
          </cell>
          <cell r="P26">
            <v>2903849</v>
          </cell>
          <cell r="Q26">
            <v>2995491</v>
          </cell>
          <cell r="R26">
            <v>3087133</v>
          </cell>
          <cell r="S26">
            <v>3178775</v>
          </cell>
          <cell r="T26">
            <v>3270417</v>
          </cell>
          <cell r="U26">
            <v>3362059</v>
          </cell>
          <cell r="V26">
            <v>3453701</v>
          </cell>
          <cell r="W26">
            <v>3545343</v>
          </cell>
          <cell r="X26">
            <v>3636985</v>
          </cell>
          <cell r="Y26">
            <v>3728627</v>
          </cell>
          <cell r="Z26">
            <v>3820269</v>
          </cell>
          <cell r="AA26">
            <v>3911931</v>
          </cell>
          <cell r="AB26">
            <v>3924088</v>
          </cell>
          <cell r="AC26">
            <v>3936245</v>
          </cell>
          <cell r="AD26">
            <v>3948400</v>
          </cell>
        </row>
        <row r="31">
          <cell r="O31">
            <v>15603.46763311862</v>
          </cell>
          <cell r="P31">
            <v>106895.02956402767</v>
          </cell>
          <cell r="Q31">
            <v>198186.59149493696</v>
          </cell>
          <cell r="R31">
            <v>289478.15342584625</v>
          </cell>
          <cell r="S31">
            <v>381756.3553567552</v>
          </cell>
          <cell r="T31">
            <v>462901.79428766435</v>
          </cell>
          <cell r="U31">
            <v>544047.2332185735</v>
          </cell>
          <cell r="V31">
            <v>625192.67214948265</v>
          </cell>
          <cell r="W31">
            <v>860413.08708039159</v>
          </cell>
          <cell r="X31">
            <v>956061.64601130085</v>
          </cell>
          <cell r="Y31">
            <v>1050363.08494221</v>
          </cell>
          <cell r="Z31">
            <v>1154914.5238731191</v>
          </cell>
          <cell r="AA31">
            <v>2104360.4532040283</v>
          </cell>
          <cell r="AB31">
            <v>2181278.8679349376</v>
          </cell>
          <cell r="AC31">
            <v>2184659.4655749374</v>
          </cell>
        </row>
        <row r="36">
          <cell r="F36">
            <v>200891.24936386768</v>
          </cell>
          <cell r="J36">
            <v>116739.51043256996</v>
          </cell>
          <cell r="K36">
            <v>155759.19451653943</v>
          </cell>
          <cell r="L36">
            <v>80893.394783715019</v>
          </cell>
          <cell r="M36">
            <v>183708.76928753179</v>
          </cell>
          <cell r="N36">
            <v>117831.90555979643</v>
          </cell>
          <cell r="O36">
            <v>151105.87362595421</v>
          </cell>
        </row>
        <row r="38">
          <cell r="I38">
            <v>19389.312977099235</v>
          </cell>
          <cell r="J38">
            <v>7543.2569974554699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40">
          <cell r="D40">
            <v>9040.8180565467919</v>
          </cell>
          <cell r="E40">
            <v>5040.8015267175506</v>
          </cell>
          <cell r="F40">
            <v>-5818.3918575063581</v>
          </cell>
          <cell r="G40">
            <v>-8004</v>
          </cell>
          <cell r="H40">
            <v>-10854</v>
          </cell>
          <cell r="I40">
            <v>1418</v>
          </cell>
          <cell r="J40">
            <v>-28537.219406713164</v>
          </cell>
          <cell r="K40">
            <v>-32933.66283288502</v>
          </cell>
          <cell r="L40">
            <v>-24157.264891753119</v>
          </cell>
          <cell r="M40">
            <v>-31641.027704134409</v>
          </cell>
          <cell r="N40">
            <v>-29185.219863204024</v>
          </cell>
          <cell r="O40">
            <v>-44889.38055675762</v>
          </cell>
        </row>
      </sheetData>
      <sheetData sheetId="2">
        <row r="7">
          <cell r="E7">
            <v>1344813</v>
          </cell>
          <cell r="F7">
            <v>1344813</v>
          </cell>
          <cell r="G7">
            <v>489023.02539440198</v>
          </cell>
          <cell r="H7">
            <v>489023.02539440198</v>
          </cell>
          <cell r="J7">
            <v>733534.47447837156</v>
          </cell>
        </row>
        <row r="9">
          <cell r="E9">
            <v>164746</v>
          </cell>
        </row>
        <row r="11">
          <cell r="F11">
            <v>290000</v>
          </cell>
          <cell r="G11">
            <v>25000</v>
          </cell>
        </row>
        <row r="13">
          <cell r="F13">
            <v>28038</v>
          </cell>
          <cell r="L13">
            <v>29020.356234096689</v>
          </cell>
          <cell r="M13">
            <v>0</v>
          </cell>
        </row>
        <row r="15">
          <cell r="D15">
            <v>12089</v>
          </cell>
          <cell r="E15">
            <v>3093</v>
          </cell>
          <cell r="F15">
            <v>18733</v>
          </cell>
          <cell r="G15">
            <v>2015</v>
          </cell>
          <cell r="H15">
            <v>2103.651806615776</v>
          </cell>
          <cell r="I15">
            <v>1079.0651653944019</v>
          </cell>
        </row>
        <row r="21">
          <cell r="E21">
            <v>280000</v>
          </cell>
        </row>
        <row r="23">
          <cell r="E23">
            <v>972674</v>
          </cell>
          <cell r="F23">
            <v>66318.77</v>
          </cell>
          <cell r="G23">
            <v>66318.77</v>
          </cell>
        </row>
        <row r="25">
          <cell r="E25">
            <v>33769</v>
          </cell>
          <cell r="F25">
            <v>12156.92</v>
          </cell>
          <cell r="G25">
            <v>12156.92</v>
          </cell>
        </row>
        <row r="27">
          <cell r="E27">
            <v>0</v>
          </cell>
          <cell r="G27">
            <v>564305</v>
          </cell>
        </row>
        <row r="29">
          <cell r="F29">
            <v>6400</v>
          </cell>
          <cell r="G29">
            <v>6000</v>
          </cell>
        </row>
        <row r="31">
          <cell r="D31">
            <v>255192</v>
          </cell>
          <cell r="F31">
            <v>3540</v>
          </cell>
          <cell r="J31">
            <v>1043.2569974554706</v>
          </cell>
          <cell r="K31">
            <v>0</v>
          </cell>
          <cell r="L31">
            <v>0</v>
          </cell>
          <cell r="M31">
            <v>0</v>
          </cell>
        </row>
        <row r="35">
          <cell r="D35">
            <v>648</v>
          </cell>
          <cell r="E35">
            <v>435083</v>
          </cell>
          <cell r="F35">
            <v>233276</v>
          </cell>
          <cell r="G35">
            <v>193499.99721730282</v>
          </cell>
          <cell r="H35">
            <v>72555.697347328227</v>
          </cell>
          <cell r="I35">
            <v>9372.5073730279873</v>
          </cell>
          <cell r="J35">
            <v>99066.517261959292</v>
          </cell>
          <cell r="K35">
            <v>74823.038975826974</v>
          </cell>
          <cell r="L35">
            <v>79193.82327175574</v>
          </cell>
          <cell r="M35">
            <v>70955.177398218832</v>
          </cell>
          <cell r="N35">
            <v>70943.217499999999</v>
          </cell>
          <cell r="O35">
            <v>70934.339001272267</v>
          </cell>
        </row>
        <row r="39">
          <cell r="D39">
            <v>34959</v>
          </cell>
          <cell r="E39">
            <v>37</v>
          </cell>
          <cell r="F39">
            <v>7195</v>
          </cell>
          <cell r="G39">
            <v>13466</v>
          </cell>
          <cell r="H39">
            <v>9509.8095928753173</v>
          </cell>
          <cell r="I39">
            <v>5415.9909160305342</v>
          </cell>
          <cell r="J39">
            <v>7718.6090330788802</v>
          </cell>
          <cell r="K39">
            <v>11394.200992366412</v>
          </cell>
          <cell r="L39">
            <v>13210.113129770991</v>
          </cell>
          <cell r="M39">
            <v>11981.75437659033</v>
          </cell>
          <cell r="N39">
            <v>11108.67292620865</v>
          </cell>
          <cell r="O39">
            <v>10332.601730279897</v>
          </cell>
        </row>
        <row r="41">
          <cell r="K41">
            <v>118627.54198473282</v>
          </cell>
          <cell r="L41">
            <v>12735.325699745546</v>
          </cell>
          <cell r="M41">
            <v>12735.325699745546</v>
          </cell>
          <cell r="N41">
            <v>12735.325699745546</v>
          </cell>
          <cell r="O41">
            <v>12735.325699745546</v>
          </cell>
        </row>
      </sheetData>
      <sheetData sheetId="3">
        <row r="4">
          <cell r="F4">
            <v>1074459</v>
          </cell>
        </row>
        <row r="5">
          <cell r="F5">
            <v>81961</v>
          </cell>
        </row>
        <row r="6">
          <cell r="F6">
            <v>4461308.0599999996</v>
          </cell>
        </row>
        <row r="7">
          <cell r="F7">
            <v>50557.770000000004</v>
          </cell>
        </row>
        <row r="8">
          <cell r="F8">
            <v>1112967.76</v>
          </cell>
        </row>
        <row r="9">
          <cell r="F9">
            <v>897663.5</v>
          </cell>
        </row>
        <row r="13">
          <cell r="C13">
            <v>800494.99512195121</v>
          </cell>
        </row>
        <row r="14">
          <cell r="C14">
            <v>1262713.4553026634</v>
          </cell>
        </row>
        <row r="15">
          <cell r="C15">
            <v>1085364.5193375393</v>
          </cell>
          <cell r="E15">
            <v>755.59</v>
          </cell>
        </row>
        <row r="16">
          <cell r="C16">
            <v>995846.8899999999</v>
          </cell>
          <cell r="E16">
            <v>709.06</v>
          </cell>
        </row>
        <row r="17">
          <cell r="C17">
            <v>857373.44000000006</v>
          </cell>
          <cell r="E17">
            <v>268.39999999999998</v>
          </cell>
        </row>
        <row r="33">
          <cell r="I33">
            <v>489022.89816793893</v>
          </cell>
          <cell r="J33">
            <v>489022.89816793893</v>
          </cell>
          <cell r="K33">
            <v>489022.89816793893</v>
          </cell>
          <cell r="L33">
            <v>489022.89816793893</v>
          </cell>
          <cell r="M33">
            <v>489022.89816793893</v>
          </cell>
        </row>
        <row r="34">
          <cell r="E34">
            <v>34608.150127226465</v>
          </cell>
          <cell r="F34">
            <v>55836.521628498725</v>
          </cell>
        </row>
        <row r="36">
          <cell r="F36">
            <v>99642.82</v>
          </cell>
          <cell r="G36">
            <v>24156.92</v>
          </cell>
          <cell r="H36">
            <v>104142.82</v>
          </cell>
          <cell r="I36">
            <v>108142.82</v>
          </cell>
          <cell r="J36">
            <v>101615.93000000001</v>
          </cell>
          <cell r="K36">
            <v>91642.82</v>
          </cell>
          <cell r="L36">
            <v>91642.82</v>
          </cell>
          <cell r="M36">
            <v>91642.82</v>
          </cell>
        </row>
        <row r="38">
          <cell r="H38">
            <v>291.60305343511448</v>
          </cell>
          <cell r="I38">
            <v>1506.8702290076335</v>
          </cell>
          <cell r="J38">
            <v>858.82951653944008</v>
          </cell>
          <cell r="L38">
            <v>6305.3435114503818</v>
          </cell>
        </row>
        <row r="45">
          <cell r="H45">
            <v>824.78343511450385</v>
          </cell>
          <cell r="I45">
            <v>1497.7712468193386</v>
          </cell>
          <cell r="J45">
            <v>1933.6635368956743</v>
          </cell>
          <cell r="K45">
            <v>1710.5353435114503</v>
          </cell>
          <cell r="L45">
            <v>1699.6315012722646</v>
          </cell>
          <cell r="M45">
            <v>1689.3493638676844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49"/>
  <sheetViews>
    <sheetView tabSelected="1" workbookViewId="0">
      <selection activeCell="G10" sqref="G10"/>
    </sheetView>
  </sheetViews>
  <sheetFormatPr baseColWidth="10" defaultRowHeight="15" x14ac:dyDescent="0.25"/>
  <cols>
    <col min="1" max="1" width="42.28515625" customWidth="1"/>
    <col min="2" max="2" width="10.7109375" customWidth="1"/>
    <col min="3" max="5" width="10.42578125" customWidth="1"/>
    <col min="6" max="6" width="13.28515625" bestFit="1" customWidth="1"/>
    <col min="7" max="7" width="11.7109375" customWidth="1"/>
    <col min="8" max="14" width="10.42578125" customWidth="1"/>
    <col min="15" max="15" width="10.42578125" style="1" customWidth="1"/>
    <col min="16" max="34" width="10.42578125" customWidth="1"/>
  </cols>
  <sheetData>
    <row r="1" spans="1:39" ht="18.75" thickBot="1" x14ac:dyDescent="0.3">
      <c r="A1" s="189" t="s">
        <v>44</v>
      </c>
      <c r="B1" s="188"/>
      <c r="D1" s="179" t="s">
        <v>43</v>
      </c>
      <c r="E1" s="187"/>
      <c r="F1" s="186">
        <f>+AH34</f>
        <v>26483525.309695639</v>
      </c>
      <c r="H1" s="2"/>
      <c r="I1" s="2"/>
      <c r="J1" s="2"/>
      <c r="K1" s="2"/>
      <c r="L1" s="2"/>
      <c r="M1" s="2"/>
      <c r="N1" s="2"/>
      <c r="P1" s="2"/>
      <c r="Q1" s="2"/>
      <c r="R1" s="2"/>
      <c r="S1" s="2"/>
      <c r="T1" s="28"/>
      <c r="U1" s="28"/>
      <c r="V1" s="28"/>
      <c r="W1" s="28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L1" s="2"/>
      <c r="AM1" s="2"/>
    </row>
    <row r="2" spans="1:39" ht="19.5" thickBot="1" x14ac:dyDescent="0.3">
      <c r="A2" s="185"/>
      <c r="B2" s="185"/>
      <c r="C2" s="185"/>
      <c r="D2" s="179" t="s">
        <v>42</v>
      </c>
      <c r="E2" s="184"/>
      <c r="F2" s="183">
        <f>+AH35</f>
        <v>0.18124555351006411</v>
      </c>
      <c r="G2" s="2"/>
      <c r="H2" s="2"/>
      <c r="I2" s="2"/>
      <c r="J2" s="2"/>
      <c r="K2" s="172" t="s">
        <v>41</v>
      </c>
      <c r="L2" s="172"/>
      <c r="M2" s="171">
        <v>40816</v>
      </c>
      <c r="N2" s="2"/>
      <c r="P2" s="2"/>
      <c r="Q2" s="2"/>
      <c r="R2" s="2"/>
      <c r="S2" s="2"/>
      <c r="T2" s="28"/>
      <c r="U2" s="28"/>
      <c r="V2" s="28"/>
      <c r="W2" s="28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2"/>
      <c r="AK2" s="2"/>
      <c r="AL2" s="2"/>
      <c r="AM2" s="2"/>
    </row>
    <row r="3" spans="1:39" x14ac:dyDescent="0.25">
      <c r="A3" s="182" t="s">
        <v>40</v>
      </c>
      <c r="B3" s="181">
        <v>22420000</v>
      </c>
      <c r="C3" s="180"/>
      <c r="D3" s="179" t="s">
        <v>39</v>
      </c>
      <c r="E3" s="178"/>
      <c r="F3" s="177">
        <f>+AJ35</f>
        <v>2883.9731361968461</v>
      </c>
      <c r="G3" s="176" t="s">
        <v>38</v>
      </c>
      <c r="H3" s="175" t="s">
        <v>37</v>
      </c>
      <c r="I3" s="174">
        <v>9183</v>
      </c>
      <c r="J3" s="173" t="s">
        <v>36</v>
      </c>
      <c r="K3" s="172" t="s">
        <v>35</v>
      </c>
      <c r="L3" s="172"/>
      <c r="M3" s="171">
        <v>40836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3"/>
      <c r="AH3" s="3"/>
      <c r="AI3" s="3"/>
      <c r="AJ3" s="2"/>
      <c r="AK3" s="2"/>
      <c r="AL3" s="2"/>
      <c r="AM3" s="2"/>
    </row>
    <row r="4" spans="1:39" ht="15.75" thickBot="1" x14ac:dyDescent="0.3">
      <c r="A4" s="170" t="s">
        <v>34</v>
      </c>
      <c r="B4" s="169">
        <v>3.93</v>
      </c>
      <c r="C4" s="29"/>
      <c r="E4" s="50"/>
      <c r="F4" s="50"/>
      <c r="G4" s="78"/>
      <c r="H4" s="168"/>
      <c r="I4" s="168"/>
      <c r="J4" s="168"/>
      <c r="K4" s="168"/>
      <c r="L4" s="168"/>
      <c r="M4" s="97"/>
      <c r="N4" s="78"/>
      <c r="O4" s="4"/>
      <c r="P4" s="78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2"/>
      <c r="AK4" s="2"/>
      <c r="AL4" s="2"/>
      <c r="AM4" s="2"/>
    </row>
    <row r="5" spans="1:39" ht="18" x14ac:dyDescent="0.25">
      <c r="A5" s="167"/>
      <c r="B5" s="166"/>
      <c r="C5" s="165"/>
      <c r="D5" s="164"/>
      <c r="E5" s="164"/>
      <c r="F5" s="163"/>
      <c r="G5" s="159"/>
      <c r="H5" s="3"/>
      <c r="I5" s="3"/>
      <c r="J5" s="3"/>
      <c r="K5" s="3"/>
      <c r="L5" s="3"/>
      <c r="M5" s="3"/>
      <c r="N5" s="3"/>
      <c r="O5" s="155"/>
      <c r="P5" s="3"/>
      <c r="Q5" s="3"/>
      <c r="R5" s="3"/>
      <c r="S5" s="3"/>
      <c r="T5" s="3"/>
      <c r="U5" s="3"/>
      <c r="V5" s="3"/>
      <c r="W5" s="29"/>
      <c r="X5" s="162"/>
      <c r="Y5" s="29"/>
      <c r="Z5" s="161"/>
      <c r="AA5" s="29"/>
      <c r="AB5" s="160"/>
      <c r="AC5" s="3"/>
      <c r="AD5" s="3"/>
      <c r="AE5" s="3"/>
      <c r="AF5" s="3"/>
      <c r="AG5" s="3"/>
      <c r="AH5" s="3"/>
      <c r="AI5" s="3"/>
      <c r="AJ5" s="2"/>
      <c r="AK5" s="2"/>
      <c r="AL5" s="2"/>
      <c r="AM5" s="2"/>
    </row>
    <row r="6" spans="1:39" ht="15.75" thickBot="1" x14ac:dyDescent="0.3">
      <c r="A6" s="159"/>
      <c r="B6" s="158"/>
      <c r="C6" s="157"/>
      <c r="D6" s="156"/>
      <c r="E6" s="156"/>
      <c r="F6" s="156"/>
      <c r="G6" s="156"/>
      <c r="H6" s="3"/>
      <c r="I6" s="3"/>
      <c r="J6" s="3"/>
      <c r="K6" s="3"/>
      <c r="L6" s="3"/>
      <c r="M6" s="3"/>
      <c r="N6" s="3"/>
      <c r="O6" s="15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2"/>
      <c r="AK6" s="2"/>
      <c r="AL6" s="2"/>
      <c r="AM6" s="2"/>
    </row>
    <row r="7" spans="1:39" x14ac:dyDescent="0.25">
      <c r="A7" s="151" t="s">
        <v>33</v>
      </c>
      <c r="B7" s="154">
        <v>4.4000000000000004</v>
      </c>
      <c r="C7" s="153" t="s">
        <v>32</v>
      </c>
      <c r="D7" s="153">
        <v>1</v>
      </c>
      <c r="E7" s="153">
        <v>2</v>
      </c>
      <c r="F7" s="153">
        <v>3</v>
      </c>
      <c r="G7" s="153">
        <v>4</v>
      </c>
      <c r="H7" s="153">
        <v>5</v>
      </c>
      <c r="I7" s="153">
        <v>6</v>
      </c>
      <c r="J7" s="153">
        <v>7</v>
      </c>
      <c r="K7" s="153">
        <v>8</v>
      </c>
      <c r="L7" s="153">
        <v>9</v>
      </c>
      <c r="M7" s="153">
        <v>10</v>
      </c>
      <c r="N7" s="153">
        <v>11</v>
      </c>
      <c r="O7" s="152"/>
      <c r="P7" s="91">
        <v>12</v>
      </c>
      <c r="Q7" s="91">
        <v>13</v>
      </c>
      <c r="R7" s="91">
        <v>14</v>
      </c>
      <c r="S7" s="91">
        <v>15</v>
      </c>
      <c r="T7" s="91">
        <v>16</v>
      </c>
      <c r="U7" s="91">
        <v>17</v>
      </c>
      <c r="V7" s="91">
        <v>18</v>
      </c>
      <c r="W7" s="91">
        <v>19</v>
      </c>
      <c r="X7" s="91">
        <v>20</v>
      </c>
      <c r="Y7" s="91">
        <v>21</v>
      </c>
      <c r="Z7" s="91">
        <v>22</v>
      </c>
      <c r="AA7" s="91">
        <v>23</v>
      </c>
      <c r="AB7" s="91">
        <v>24</v>
      </c>
      <c r="AC7" s="98">
        <v>25</v>
      </c>
      <c r="AD7" s="98">
        <v>26</v>
      </c>
      <c r="AE7" s="91"/>
      <c r="AF7" s="91"/>
      <c r="AG7" s="91"/>
      <c r="AH7" s="146" t="s">
        <v>31</v>
      </c>
      <c r="AI7" s="3"/>
      <c r="AJ7" s="2"/>
      <c r="AK7" s="2"/>
      <c r="AL7" s="2"/>
      <c r="AM7" s="2"/>
    </row>
    <row r="8" spans="1:39" ht="15.75" thickBot="1" x14ac:dyDescent="0.3">
      <c r="A8" s="151" t="s">
        <v>30</v>
      </c>
      <c r="B8" s="150">
        <v>2.0500000000000001E-2</v>
      </c>
      <c r="C8" s="149">
        <v>40452</v>
      </c>
      <c r="D8" s="149">
        <v>40483</v>
      </c>
      <c r="E8" s="149">
        <v>40513</v>
      </c>
      <c r="F8" s="149">
        <v>40544</v>
      </c>
      <c r="G8" s="149">
        <v>40575</v>
      </c>
      <c r="H8" s="149">
        <v>40603</v>
      </c>
      <c r="I8" s="149">
        <v>40634</v>
      </c>
      <c r="J8" s="149">
        <v>40664</v>
      </c>
      <c r="K8" s="149">
        <v>40695</v>
      </c>
      <c r="L8" s="149">
        <v>40725</v>
      </c>
      <c r="M8" s="149">
        <v>40756</v>
      </c>
      <c r="N8" s="149">
        <v>40787</v>
      </c>
      <c r="O8" s="148"/>
      <c r="P8" s="147">
        <v>40817</v>
      </c>
      <c r="Q8" s="147">
        <v>40848</v>
      </c>
      <c r="R8" s="147">
        <v>40878</v>
      </c>
      <c r="S8" s="147">
        <v>40909</v>
      </c>
      <c r="T8" s="147">
        <v>40940</v>
      </c>
      <c r="U8" s="147">
        <v>40969</v>
      </c>
      <c r="V8" s="147">
        <v>41000</v>
      </c>
      <c r="W8" s="147">
        <v>41030</v>
      </c>
      <c r="X8" s="147">
        <v>41061</v>
      </c>
      <c r="Y8" s="147">
        <v>41091</v>
      </c>
      <c r="Z8" s="147">
        <v>41122</v>
      </c>
      <c r="AA8" s="147">
        <v>41153</v>
      </c>
      <c r="AB8" s="147">
        <v>41183</v>
      </c>
      <c r="AC8" s="147">
        <v>41214</v>
      </c>
      <c r="AD8" s="147">
        <v>41244</v>
      </c>
      <c r="AE8" s="147">
        <v>41275</v>
      </c>
      <c r="AF8" s="147">
        <v>41306</v>
      </c>
      <c r="AG8" s="147">
        <v>41334</v>
      </c>
      <c r="AH8" s="146"/>
      <c r="AI8" s="18"/>
      <c r="AJ8" s="19"/>
      <c r="AK8" s="2"/>
      <c r="AL8" s="2"/>
      <c r="AM8" s="2"/>
    </row>
    <row r="9" spans="1:39" ht="15.75" thickBot="1" x14ac:dyDescent="0.3">
      <c r="A9" s="145" t="s">
        <v>29</v>
      </c>
      <c r="B9" s="144">
        <f>+B39</f>
        <v>0.27572218672216509</v>
      </c>
      <c r="C9" s="67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143"/>
      <c r="P9" s="66"/>
      <c r="Q9" s="66"/>
      <c r="R9" s="66"/>
      <c r="S9" s="65"/>
      <c r="T9" s="65"/>
      <c r="U9" s="65"/>
      <c r="V9" s="66"/>
      <c r="W9" s="66"/>
      <c r="X9" s="65"/>
      <c r="Y9" s="65"/>
      <c r="Z9" s="64"/>
      <c r="AA9" s="64"/>
      <c r="AB9" s="64"/>
      <c r="AC9" s="64"/>
      <c r="AD9" s="64"/>
      <c r="AE9" s="64"/>
      <c r="AF9" s="64"/>
      <c r="AG9" s="64"/>
      <c r="AH9" s="97"/>
      <c r="AI9" s="142"/>
      <c r="AJ9" s="19"/>
      <c r="AK9" s="2"/>
      <c r="AL9" s="2"/>
      <c r="AM9" s="2"/>
    </row>
    <row r="10" spans="1:39" ht="15.75" thickBot="1" x14ac:dyDescent="0.3">
      <c r="A10" s="141" t="s">
        <v>28</v>
      </c>
      <c r="B10" s="106">
        <f>+B3</f>
        <v>22420000</v>
      </c>
      <c r="C10" s="124">
        <f>+[1]Resumen!F4+[1]Resumen!F5+[1]Resumen!F6</f>
        <v>5617728.0599999996</v>
      </c>
      <c r="D10" s="124">
        <f>+[1]Resumen!F7</f>
        <v>50557.770000000004</v>
      </c>
      <c r="E10" s="124">
        <f>+[1]Resumen!F8</f>
        <v>1112967.76</v>
      </c>
      <c r="F10" s="124">
        <f>+[1]Resumen!F9</f>
        <v>897663.5</v>
      </c>
      <c r="G10" s="124">
        <f>+'[1]Tablero de control'!H10</f>
        <v>800079.46</v>
      </c>
      <c r="H10" s="124">
        <f>+'[1]Tablero de control'!I10</f>
        <v>882598.05370370368</v>
      </c>
      <c r="I10" s="124">
        <f>+'[1]Tablero de control'!J10</f>
        <v>224805.22999999998</v>
      </c>
      <c r="J10" s="124">
        <f>+[1]Resumen!C13</f>
        <v>800494.99512195121</v>
      </c>
      <c r="K10" s="124">
        <f>+[1]Resumen!C14</f>
        <v>1262713.4553026634</v>
      </c>
      <c r="L10" s="124">
        <f>+[1]Resumen!C15</f>
        <v>1085364.5193375393</v>
      </c>
      <c r="M10" s="124">
        <f>+[1]Resumen!C16</f>
        <v>995846.8899999999</v>
      </c>
      <c r="N10" s="124">
        <f>+[1]Resumen!C17</f>
        <v>857373.44000000006</v>
      </c>
      <c r="O10" s="102">
        <f>SUM(C10:N10)</f>
        <v>14588193.133465854</v>
      </c>
      <c r="P10" s="56">
        <f>840750-191897.67</f>
        <v>648852.32999999996</v>
      </c>
      <c r="Q10" s="56">
        <f>+P10</f>
        <v>648852.32999999996</v>
      </c>
      <c r="R10" s="56">
        <f>+Q10</f>
        <v>648852.32999999996</v>
      </c>
      <c r="S10" s="56">
        <v>840750</v>
      </c>
      <c r="T10" s="56">
        <f>+S10</f>
        <v>840750</v>
      </c>
      <c r="U10" s="56">
        <f>+T10</f>
        <v>840750</v>
      </c>
      <c r="V10" s="56">
        <f>+U10</f>
        <v>840750</v>
      </c>
      <c r="W10" s="56">
        <f>+V10</f>
        <v>840750</v>
      </c>
      <c r="X10" s="56">
        <f>+W10</f>
        <v>840750</v>
      </c>
      <c r="Y10" s="56">
        <f>+X10</f>
        <v>840750</v>
      </c>
      <c r="Z10" s="56"/>
      <c r="AA10" s="88"/>
      <c r="AB10" s="88"/>
      <c r="AC10" s="88"/>
      <c r="AD10" s="88"/>
      <c r="AE10" s="88"/>
      <c r="AF10" s="88"/>
      <c r="AG10" s="88"/>
      <c r="AH10" s="110">
        <f>SUM(C10:AG10)-O10</f>
        <v>22420000.123465851</v>
      </c>
      <c r="AI10" s="109">
        <f>+B10-AH10</f>
        <v>-0.12346585094928741</v>
      </c>
      <c r="AJ10" s="18"/>
      <c r="AK10" s="99"/>
      <c r="AL10" s="3"/>
      <c r="AM10" s="3"/>
    </row>
    <row r="11" spans="1:39" x14ac:dyDescent="0.25">
      <c r="A11" s="137" t="s">
        <v>27</v>
      </c>
      <c r="B11" s="140"/>
      <c r="C11" s="139">
        <v>0</v>
      </c>
      <c r="D11" s="139">
        <v>0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/>
      <c r="M11" s="139"/>
      <c r="N11" s="139"/>
      <c r="O11" s="102">
        <f>SUM(C11:N11)</f>
        <v>0</v>
      </c>
      <c r="P11" s="91"/>
      <c r="Q11" s="91"/>
      <c r="R11" s="91"/>
      <c r="S11" s="88"/>
      <c r="T11" s="88"/>
      <c r="U11" s="88"/>
      <c r="V11" s="56">
        <v>230000</v>
      </c>
      <c r="W11" s="56">
        <f>+V11</f>
        <v>230000</v>
      </c>
      <c r="X11" s="56">
        <f>+W11</f>
        <v>230000</v>
      </c>
      <c r="Y11" s="56">
        <f>+X11</f>
        <v>230000</v>
      </c>
      <c r="Z11" s="56">
        <v>1070000</v>
      </c>
      <c r="AA11" s="56">
        <f>+Z11</f>
        <v>1070000</v>
      </c>
      <c r="AB11" s="56">
        <f>+AA11</f>
        <v>1070000</v>
      </c>
      <c r="AC11" s="88"/>
      <c r="AD11" s="88"/>
      <c r="AE11" s="56"/>
      <c r="AF11" s="56"/>
      <c r="AG11" s="56"/>
      <c r="AH11" s="110">
        <f>SUM(C11:AG11)-O11</f>
        <v>4130000</v>
      </c>
      <c r="AI11" s="109">
        <f>+B11-AH11</f>
        <v>-4130000</v>
      </c>
      <c r="AJ11" s="18"/>
      <c r="AK11" s="3"/>
      <c r="AL11" s="3"/>
      <c r="AM11" s="3"/>
    </row>
    <row r="12" spans="1:39" x14ac:dyDescent="0.25">
      <c r="A12" s="137" t="s">
        <v>26</v>
      </c>
      <c r="B12" s="137"/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20">
        <v>0</v>
      </c>
      <c r="J12" s="120">
        <v>0</v>
      </c>
      <c r="K12" s="120">
        <v>0</v>
      </c>
      <c r="L12" s="120"/>
      <c r="M12" s="120"/>
      <c r="N12" s="120"/>
      <c r="O12" s="102">
        <f>SUM(C12:N12)</f>
        <v>0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56"/>
      <c r="AB12" s="56"/>
      <c r="AC12" s="56"/>
      <c r="AD12" s="56"/>
      <c r="AE12" s="56"/>
      <c r="AF12" s="56"/>
      <c r="AG12" s="56"/>
      <c r="AH12" s="110">
        <f>SUM(C12:AG12)-O12</f>
        <v>0</v>
      </c>
      <c r="AI12" s="109">
        <f>+B12-AH12</f>
        <v>0</v>
      </c>
      <c r="AJ12" s="18"/>
      <c r="AK12" s="3"/>
      <c r="AL12" s="3"/>
      <c r="AM12" s="3"/>
    </row>
    <row r="13" spans="1:39" x14ac:dyDescent="0.25">
      <c r="A13" s="137" t="s">
        <v>25</v>
      </c>
      <c r="B13" s="137"/>
      <c r="C13" s="120">
        <v>0</v>
      </c>
      <c r="D13" s="120">
        <v>0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  <c r="L13" s="120"/>
      <c r="M13" s="120"/>
      <c r="N13" s="120"/>
      <c r="O13" s="102">
        <f>SUM(C13:N13)</f>
        <v>0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56"/>
      <c r="AB13" s="56"/>
      <c r="AC13" s="56"/>
      <c r="AD13" s="56"/>
      <c r="AE13" s="56"/>
      <c r="AF13" s="56"/>
      <c r="AG13" s="56"/>
      <c r="AH13" s="110">
        <f>SUM(C13:AG13)-O13</f>
        <v>0</v>
      </c>
      <c r="AI13" s="109">
        <f>+B13-AH13</f>
        <v>0</v>
      </c>
      <c r="AJ13" s="18"/>
      <c r="AK13" s="3"/>
      <c r="AL13" s="3"/>
      <c r="AM13" s="3"/>
    </row>
    <row r="14" spans="1:39" ht="15.75" thickBot="1" x14ac:dyDescent="0.3">
      <c r="A14" s="138" t="s">
        <v>24</v>
      </c>
      <c r="B14" s="137"/>
      <c r="C14" s="116">
        <v>0</v>
      </c>
      <c r="D14" s="136">
        <v>0</v>
      </c>
      <c r="E14" s="136">
        <v>0</v>
      </c>
      <c r="F14" s="136">
        <v>0</v>
      </c>
      <c r="G14" s="136">
        <v>0</v>
      </c>
      <c r="H14" s="136">
        <f>+'[1]Tablero de control'!I14</f>
        <v>342</v>
      </c>
      <c r="I14" s="136">
        <v>0</v>
      </c>
      <c r="J14" s="136">
        <v>0</v>
      </c>
      <c r="K14" s="136">
        <v>0</v>
      </c>
      <c r="L14" s="136">
        <f>+[1]Resumen!E15</f>
        <v>755.59</v>
      </c>
      <c r="M14" s="136">
        <f>+[1]Resumen!E16</f>
        <v>709.06</v>
      </c>
      <c r="N14" s="136">
        <f>+[1]Resumen!E17</f>
        <v>268.39999999999998</v>
      </c>
      <c r="O14" s="102">
        <f>SUM(C14:N14)</f>
        <v>2075.0500000000002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56"/>
      <c r="AB14" s="56"/>
      <c r="AC14" s="56"/>
      <c r="AD14" s="56"/>
      <c r="AE14" s="56"/>
      <c r="AF14" s="56"/>
      <c r="AG14" s="56"/>
      <c r="AH14" s="110">
        <f>SUM(C14:AG14)-O14</f>
        <v>2075.0500000000002</v>
      </c>
      <c r="AI14" s="109">
        <f>+B14-AH14</f>
        <v>-2075.0500000000002</v>
      </c>
      <c r="AJ14" s="18"/>
      <c r="AK14" s="3"/>
      <c r="AL14" s="3"/>
      <c r="AM14" s="3"/>
    </row>
    <row r="15" spans="1:39" ht="16.5" thickTop="1" thickBot="1" x14ac:dyDescent="0.3">
      <c r="A15" s="131"/>
      <c r="B15" s="135" t="s">
        <v>18</v>
      </c>
      <c r="C15" s="134">
        <f>SUM(C10:C14)</f>
        <v>5617728.0599999996</v>
      </c>
      <c r="D15" s="133">
        <f>SUM(D10:D14)</f>
        <v>50557.770000000004</v>
      </c>
      <c r="E15" s="133">
        <f>SUM(E10:E14)</f>
        <v>1112967.76</v>
      </c>
      <c r="F15" s="133">
        <f>SUM(F10:F14)</f>
        <v>897663.5</v>
      </c>
      <c r="G15" s="133">
        <f>SUM(G10:G14)</f>
        <v>800079.46</v>
      </c>
      <c r="H15" s="133">
        <f>SUM(H10:H14)</f>
        <v>882940.05370370368</v>
      </c>
      <c r="I15" s="133">
        <f>SUM(I10:I14)</f>
        <v>224805.22999999998</v>
      </c>
      <c r="J15" s="133">
        <f>SUM(J10:J14)</f>
        <v>800494.99512195121</v>
      </c>
      <c r="K15" s="133">
        <f>SUM(K10:K14)</f>
        <v>1262713.4553026634</v>
      </c>
      <c r="L15" s="133">
        <f>SUM(L10:L14)</f>
        <v>1086120.1093375394</v>
      </c>
      <c r="M15" s="133">
        <f>SUM(M10:M14)</f>
        <v>996555.95</v>
      </c>
      <c r="N15" s="133">
        <f>SUM(N10:N14)</f>
        <v>857641.84000000008</v>
      </c>
      <c r="O15" s="102">
        <f>SUM(C15:N15)</f>
        <v>14590268.183465853</v>
      </c>
      <c r="P15" s="56">
        <f>SUM(P10:P14)</f>
        <v>648852.32999999996</v>
      </c>
      <c r="Q15" s="56">
        <f>SUM(Q10:Q14)</f>
        <v>648852.32999999996</v>
      </c>
      <c r="R15" s="56">
        <f>SUM(R10:R14)</f>
        <v>648852.32999999996</v>
      </c>
      <c r="S15" s="56">
        <f>SUM(S10:S14)</f>
        <v>840750</v>
      </c>
      <c r="T15" s="56">
        <f>SUM(T10:T14)</f>
        <v>840750</v>
      </c>
      <c r="U15" s="56">
        <f>SUM(U10:U14)</f>
        <v>840750</v>
      </c>
      <c r="V15" s="56">
        <f>SUM(V10:V14)</f>
        <v>1070750</v>
      </c>
      <c r="W15" s="56">
        <f>SUM(W10:W14)</f>
        <v>1070750</v>
      </c>
      <c r="X15" s="56">
        <f>SUM(X10:X14)</f>
        <v>1070750</v>
      </c>
      <c r="Y15" s="56">
        <f>SUM(Y10:Y14)</f>
        <v>1070750</v>
      </c>
      <c r="Z15" s="56">
        <f>SUM(Z10:Z14)</f>
        <v>1070000</v>
      </c>
      <c r="AA15" s="56">
        <f>SUM(AA10:AA14)</f>
        <v>1070000</v>
      </c>
      <c r="AB15" s="56">
        <f>SUM(AB10:AB14)</f>
        <v>1070000</v>
      </c>
      <c r="AC15" s="56">
        <f>SUM(AC10:AC14)</f>
        <v>0</v>
      </c>
      <c r="AD15" s="56">
        <f>SUM(AD10:AD14)</f>
        <v>0</v>
      </c>
      <c r="AE15" s="56">
        <f>SUM(AE10:AE14)</f>
        <v>0</v>
      </c>
      <c r="AF15" s="56">
        <f>SUM(AF10:AF14)</f>
        <v>0</v>
      </c>
      <c r="AG15" s="56">
        <f>SUM(AG10:AG14)</f>
        <v>0</v>
      </c>
      <c r="AH15" s="110">
        <f>SUM(C15:AG15)-O15</f>
        <v>26552075.173465848</v>
      </c>
      <c r="AI15" s="109"/>
      <c r="AJ15" s="132"/>
      <c r="AK15" s="131"/>
      <c r="AL15" s="131"/>
      <c r="AM15" s="131"/>
    </row>
    <row r="16" spans="1:39" ht="16.5" thickTop="1" thickBot="1" x14ac:dyDescent="0.3">
      <c r="A16" s="130" t="s">
        <v>23</v>
      </c>
      <c r="B16" s="129" t="s">
        <v>13</v>
      </c>
      <c r="C16" s="90">
        <f>+C15</f>
        <v>5617728.0599999996</v>
      </c>
      <c r="D16" s="90">
        <f>+C16+D15</f>
        <v>5668285.8299999991</v>
      </c>
      <c r="E16" s="90">
        <f>+D16+E15</f>
        <v>6781253.5899999989</v>
      </c>
      <c r="F16" s="90">
        <f>+E16+F15</f>
        <v>7678917.0899999989</v>
      </c>
      <c r="G16" s="90">
        <f>+F16+G15</f>
        <v>8478996.5499999989</v>
      </c>
      <c r="H16" s="90">
        <f>+G16+H15</f>
        <v>9361936.6037037019</v>
      </c>
      <c r="I16" s="90">
        <f>+H16+I15</f>
        <v>9586741.8337037023</v>
      </c>
      <c r="J16" s="90">
        <f>+I16+J15</f>
        <v>10387236.828825653</v>
      </c>
      <c r="K16" s="90">
        <f>+J16+K15</f>
        <v>11649950.284128316</v>
      </c>
      <c r="L16" s="90">
        <f>+K16+L15</f>
        <v>12736070.393465854</v>
      </c>
      <c r="M16" s="90">
        <f>+L16+M15</f>
        <v>13732626.343465853</v>
      </c>
      <c r="N16" s="90">
        <f>+M16+N15</f>
        <v>14590268.183465853</v>
      </c>
      <c r="O16" s="89"/>
      <c r="P16" s="88">
        <f>+N16+P15</f>
        <v>15239120.513465853</v>
      </c>
      <c r="Q16" s="88">
        <f>+P16+Q15</f>
        <v>15887972.843465853</v>
      </c>
      <c r="R16" s="88">
        <f>+Q16+R15</f>
        <v>16536825.173465854</v>
      </c>
      <c r="S16" s="88">
        <f>+R16+S15</f>
        <v>17377575.173465855</v>
      </c>
      <c r="T16" s="88">
        <f>+S16+T15</f>
        <v>18218325.173465855</v>
      </c>
      <c r="U16" s="88">
        <f>+T16+U15</f>
        <v>19059075.173465855</v>
      </c>
      <c r="V16" s="88">
        <f>+U16+V15</f>
        <v>20129825.173465855</v>
      </c>
      <c r="W16" s="88">
        <f>+V16+W15</f>
        <v>21200575.173465855</v>
      </c>
      <c r="X16" s="88">
        <f>+W16+X15</f>
        <v>22271325.173465855</v>
      </c>
      <c r="Y16" s="88">
        <f>+X16+Y15</f>
        <v>23342075.173465855</v>
      </c>
      <c r="Z16" s="88">
        <f>+Y16+Z15</f>
        <v>24412075.173465855</v>
      </c>
      <c r="AA16" s="88">
        <f>+Z16+AA15</f>
        <v>25482075.173465855</v>
      </c>
      <c r="AB16" s="88">
        <f>+AA16+AB15</f>
        <v>26552075.173465855</v>
      </c>
      <c r="AC16" s="88">
        <f>+AB16+AC15</f>
        <v>26552075.173465855</v>
      </c>
      <c r="AD16" s="88">
        <f>+AC16+AD15</f>
        <v>26552075.173465855</v>
      </c>
      <c r="AE16" s="88">
        <f>+AD16+AE15</f>
        <v>26552075.173465855</v>
      </c>
      <c r="AF16" s="88">
        <f>+AE16+AF15</f>
        <v>26552075.173465855</v>
      </c>
      <c r="AG16" s="88">
        <f>+AF16+AG15</f>
        <v>26552075.173465855</v>
      </c>
      <c r="AH16" s="128">
        <f>+AH10+AH11+AH12+AH13+AH14</f>
        <v>26552075.173465852</v>
      </c>
      <c r="AI16" s="104"/>
      <c r="AJ16" s="18"/>
      <c r="AK16" s="3"/>
      <c r="AL16" s="3"/>
      <c r="AM16" s="3"/>
    </row>
    <row r="17" spans="1:39" ht="15.75" thickBot="1" x14ac:dyDescent="0.3">
      <c r="A17" s="12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57"/>
      <c r="P17" s="66"/>
      <c r="Q17" s="66"/>
      <c r="R17" s="66"/>
      <c r="S17" s="65"/>
      <c r="T17" s="65"/>
      <c r="U17" s="66"/>
      <c r="V17" s="66"/>
      <c r="W17" s="66"/>
      <c r="X17" s="65"/>
      <c r="Y17" s="65"/>
      <c r="Z17" s="64"/>
      <c r="AA17" s="64"/>
      <c r="AB17" s="64"/>
      <c r="AC17" s="64"/>
      <c r="AD17" s="64"/>
      <c r="AE17" s="64"/>
      <c r="AF17" s="64"/>
      <c r="AG17" s="64"/>
      <c r="AH17" s="97"/>
      <c r="AI17" s="126"/>
      <c r="AJ17" s="19"/>
      <c r="AK17" s="2"/>
      <c r="AL17" s="2"/>
      <c r="AM17" s="2"/>
    </row>
    <row r="18" spans="1:39" x14ac:dyDescent="0.25">
      <c r="A18" s="118" t="s">
        <v>22</v>
      </c>
      <c r="B18" s="125">
        <v>13500000</v>
      </c>
      <c r="C18" s="124">
        <f>+'[1]Tablero de control'!D20</f>
        <v>0</v>
      </c>
      <c r="D18" s="124">
        <f>+[1]EGRESOS!E7</f>
        <v>1344813</v>
      </c>
      <c r="E18" s="124">
        <f>+[1]EGRESOS!F7</f>
        <v>1344813</v>
      </c>
      <c r="F18" s="124">
        <f>+[1]EGRESOS!G7</f>
        <v>489023.02539440198</v>
      </c>
      <c r="G18" s="124">
        <f>+[1]EGRESOS!H7</f>
        <v>489023.02539440198</v>
      </c>
      <c r="H18" s="124">
        <v>0</v>
      </c>
      <c r="I18" s="124">
        <f>+[1]EGRESOS!J7</f>
        <v>733534.47447837156</v>
      </c>
      <c r="J18" s="124">
        <f>+[1]Resumen!I33</f>
        <v>489022.89816793893</v>
      </c>
      <c r="K18" s="124">
        <f>+[1]Resumen!J33+[1]EGRESOS!L13</f>
        <v>518043.25440203561</v>
      </c>
      <c r="L18" s="124">
        <f>+[1]Resumen!K33+[1]EGRESOS!M13</f>
        <v>489022.89816793893</v>
      </c>
      <c r="M18" s="124">
        <f>+[1]Resumen!L33+[1]EGRESOS!N13</f>
        <v>489022.89816793893</v>
      </c>
      <c r="N18" s="124">
        <f>+[1]Resumen!M33+[1]EGRESOS!O13</f>
        <v>489022.89816793893</v>
      </c>
      <c r="O18" s="102">
        <f>SUM(C18:N18)</f>
        <v>6875341.3723409669</v>
      </c>
      <c r="P18" s="56">
        <f>+'[1]Tablero de control'!P20-'[1]Tablero de control'!O20</f>
        <v>490909.09090909082</v>
      </c>
      <c r="Q18" s="56">
        <f>+'[1]Tablero de control'!Q20-'[1]Tablero de control'!P20</f>
        <v>490909.09090909082</v>
      </c>
      <c r="R18" s="56">
        <f>+'[1]Tablero de control'!R20-'[1]Tablero de control'!Q20</f>
        <v>490909.09090909082</v>
      </c>
      <c r="S18" s="56">
        <f>+'[1]Tablero de control'!S20-'[1]Tablero de control'!R20</f>
        <v>490909.09090909176</v>
      </c>
      <c r="T18" s="56">
        <f>+'[1]Tablero de control'!T20-'[1]Tablero de control'!S20</f>
        <v>490909.09090909176</v>
      </c>
      <c r="U18" s="56">
        <f>+'[1]Tablero de control'!U20-'[1]Tablero de control'!T20</f>
        <v>490909.09090909176</v>
      </c>
      <c r="V18" s="56">
        <f>+'[1]Tablero de control'!V20-'[1]Tablero de control'!U20</f>
        <v>490909.09090909176</v>
      </c>
      <c r="W18" s="56">
        <f>+'[1]Tablero de control'!W20-'[1]Tablero de control'!V20</f>
        <v>490909.09090909176</v>
      </c>
      <c r="X18" s="56">
        <f>+'[1]Tablero de control'!X20-'[1]Tablero de control'!W20</f>
        <v>490909.09090909176</v>
      </c>
      <c r="Y18" s="56">
        <f>+'[1]Tablero de control'!Y20-'[1]Tablero de control'!X20</f>
        <v>490909.09090909176</v>
      </c>
      <c r="Z18" s="56">
        <f>+'[1]Tablero de control'!Z20-'[1]Tablero de control'!Y20</f>
        <v>490909.09090909176</v>
      </c>
      <c r="AA18" s="56">
        <f>+'[1]Tablero de control'!AA20-'[1]Tablero de control'!Z20</f>
        <v>490909.09090909176</v>
      </c>
      <c r="AB18" s="56">
        <f>+'[1]Tablero de control'!AB20-'[1]Tablero de control'!AA20</f>
        <v>490909.09090909176</v>
      </c>
      <c r="AC18" s="56">
        <f>245455+16975-23362+3772</f>
        <v>242840</v>
      </c>
      <c r="AD18" s="56"/>
      <c r="AE18" s="56">
        <v>0</v>
      </c>
      <c r="AF18" s="56">
        <v>0</v>
      </c>
      <c r="AG18" s="56">
        <v>0</v>
      </c>
      <c r="AH18" s="110">
        <f>SUM(C18:AG18)-O18</f>
        <v>13499999.554159168</v>
      </c>
      <c r="AI18" s="109">
        <f>+B18-AH18</f>
        <v>0.44584083184599876</v>
      </c>
      <c r="AJ18" s="123"/>
      <c r="AK18" s="3"/>
      <c r="AL18" s="3"/>
      <c r="AM18" s="3"/>
    </row>
    <row r="19" spans="1:39" x14ac:dyDescent="0.25">
      <c r="A19" s="118" t="s">
        <v>21</v>
      </c>
      <c r="B19" s="122">
        <v>800000</v>
      </c>
      <c r="C19" s="120">
        <f>+[1]EGRESOS!D15</f>
        <v>12089</v>
      </c>
      <c r="D19" s="120">
        <f>+[1]EGRESOS!E9+[1]EGRESOS!E15</f>
        <v>167839</v>
      </c>
      <c r="E19" s="120">
        <f>+[1]EGRESOS!F11+[1]EGRESOS!F13+[1]EGRESOS!F15</f>
        <v>336771</v>
      </c>
      <c r="F19" s="120">
        <f>+[1]EGRESOS!G11+[1]EGRESOS!G15</f>
        <v>27015</v>
      </c>
      <c r="G19" s="120">
        <f>+[1]EGRESOS!H15</f>
        <v>2103.651806615776</v>
      </c>
      <c r="H19" s="120">
        <f>+[1]EGRESOS!I15+'[1]Tablero de control'!I38</f>
        <v>20468.378142493635</v>
      </c>
      <c r="I19" s="120">
        <f>+[1]Resumen!H45+[1]Resumen!H38+'[1]Tablero de control'!J38</f>
        <v>8659.6434860050886</v>
      </c>
      <c r="J19" s="120">
        <f>+[1]Resumen!I45+[1]Resumen!I38+'[1]Tablero de control'!K38</f>
        <v>3004.6414758269721</v>
      </c>
      <c r="K19" s="120">
        <f>+[1]Resumen!J45+[1]Resumen!J38+'[1]Tablero de control'!L38</f>
        <v>2792.4930534351142</v>
      </c>
      <c r="L19" s="120">
        <f>+[1]Resumen!K45+[1]Resumen!K38+'[1]Tablero de control'!M38</f>
        <v>1710.5353435114503</v>
      </c>
      <c r="M19" s="120">
        <f>+[1]Resumen!L45+[1]Resumen!L38+'[1]Tablero de control'!N38</f>
        <v>8004.9750127226462</v>
      </c>
      <c r="N19" s="120">
        <f>+[1]Resumen!M45+[1]Resumen!M38+'[1]Tablero de control'!O38</f>
        <v>1689.3493638676844</v>
      </c>
      <c r="O19" s="102">
        <f>SUM(C19:N19)</f>
        <v>592147.66768447845</v>
      </c>
      <c r="P19" s="119">
        <f>+'[1]Tablero de control'!P23-'[1]Tablero de control'!O23-20000</f>
        <v>32650</v>
      </c>
      <c r="Q19" s="119">
        <f>+'[1]Tablero de control'!Q23-'[1]Tablero de control'!P23-8486</f>
        <v>44164</v>
      </c>
      <c r="R19" s="119">
        <f>+'[1]Tablero de control'!R23-'[1]Tablero de control'!Q23</f>
        <v>52650</v>
      </c>
      <c r="S19" s="119">
        <f>+'[1]Tablero de control'!S23-'[1]Tablero de control'!R23+10000</f>
        <v>20900</v>
      </c>
      <c r="T19" s="119">
        <f>+'[1]Tablero de control'!T23-'[1]Tablero de control'!S23+10000</f>
        <v>13900</v>
      </c>
      <c r="U19" s="119">
        <f>+'[1]Tablero de control'!U23-'[1]Tablero de control'!T23+6855</f>
        <v>10755</v>
      </c>
      <c r="V19" s="119">
        <f>+'[1]Tablero de control'!V23-'[1]Tablero de control'!U23</f>
        <v>3900</v>
      </c>
      <c r="W19" s="119">
        <f>+'[1]Tablero de control'!W23-'[1]Tablero de control'!V23</f>
        <v>3900</v>
      </c>
      <c r="X19" s="119">
        <f>+'[1]Tablero de control'!X23-'[1]Tablero de control'!W23</f>
        <v>9900</v>
      </c>
      <c r="Y19" s="119">
        <f>+'[1]Tablero de control'!Y23-'[1]Tablero de control'!X23</f>
        <v>3900</v>
      </c>
      <c r="Z19" s="119">
        <f>+'[1]Tablero de control'!Z23-'[1]Tablero de control'!Y23</f>
        <v>3900</v>
      </c>
      <c r="AA19" s="119">
        <f>+'[1]Tablero de control'!AA23-'[1]Tablero de control'!Z23+2884</f>
        <v>6784</v>
      </c>
      <c r="AB19" s="119">
        <v>549</v>
      </c>
      <c r="AC19" s="119"/>
      <c r="AD19" s="119"/>
      <c r="AE19" s="119">
        <v>0</v>
      </c>
      <c r="AF19" s="119"/>
      <c r="AG19" s="119"/>
      <c r="AH19" s="110">
        <f>SUM(C19:AG19)-O19</f>
        <v>799999.66768447845</v>
      </c>
      <c r="AI19" s="109">
        <f>+B19-AH19</f>
        <v>0.33231552154757082</v>
      </c>
      <c r="AJ19" s="18"/>
      <c r="AK19" s="3"/>
      <c r="AL19" s="3"/>
      <c r="AM19" s="3"/>
    </row>
    <row r="20" spans="1:39" x14ac:dyDescent="0.25">
      <c r="A20" s="118" t="s">
        <v>20</v>
      </c>
      <c r="B20" s="121">
        <v>3948400</v>
      </c>
      <c r="C20" s="120">
        <f>+'[1]Tablero de control'!D26</f>
        <v>0</v>
      </c>
      <c r="D20" s="120">
        <f>+[1]EGRESOS!E21+[1]EGRESOS!E23+[1]EGRESOS!E25+[1]EGRESOS!E27</f>
        <v>1286443</v>
      </c>
      <c r="E20" s="120">
        <f>+[1]EGRESOS!F23+[1]EGRESOS!F25+[1]EGRESOS!F29</f>
        <v>84875.69</v>
      </c>
      <c r="F20" s="120">
        <f>+[1]EGRESOS!G23+[1]EGRESOS!G25+[1]EGRESOS!G27+[1]EGRESOS!G29</f>
        <v>648780.68999999994</v>
      </c>
      <c r="G20" s="120">
        <f>+[1]Resumen!F36</f>
        <v>99642.82</v>
      </c>
      <c r="H20" s="120">
        <f>+[1]Resumen!G36</f>
        <v>24156.92</v>
      </c>
      <c r="I20" s="120">
        <f>+[1]Resumen!H36</f>
        <v>104142.82</v>
      </c>
      <c r="J20" s="120">
        <f>+[1]Resumen!I36</f>
        <v>108142.82</v>
      </c>
      <c r="K20" s="120">
        <f>+[1]Resumen!J36</f>
        <v>101615.93000000001</v>
      </c>
      <c r="L20" s="120">
        <f>+[1]Resumen!K36</f>
        <v>91642.82</v>
      </c>
      <c r="M20" s="120">
        <f>+[1]Resumen!L36+1</f>
        <v>91643.82</v>
      </c>
      <c r="N20" s="120">
        <f>+[1]Resumen!M36+2</f>
        <v>91644.82</v>
      </c>
      <c r="O20" s="102">
        <f>SUM(C20:N20)</f>
        <v>2732732.149999999</v>
      </c>
      <c r="P20" s="119">
        <f>+'[1]Tablero de control'!P26-'[1]Tablero de control'!O26</f>
        <v>91642</v>
      </c>
      <c r="Q20" s="119">
        <f>+'[1]Tablero de control'!Q26-'[1]Tablero de control'!P26</f>
        <v>91642</v>
      </c>
      <c r="R20" s="119">
        <f>+'[1]Tablero de control'!R26-'[1]Tablero de control'!Q26</f>
        <v>91642</v>
      </c>
      <c r="S20" s="119">
        <f>+'[1]Tablero de control'!S26-'[1]Tablero de control'!R26</f>
        <v>91642</v>
      </c>
      <c r="T20" s="119">
        <f>+'[1]Tablero de control'!T26-'[1]Tablero de control'!S26</f>
        <v>91642</v>
      </c>
      <c r="U20" s="119">
        <f>+'[1]Tablero de control'!U26-'[1]Tablero de control'!T26</f>
        <v>91642</v>
      </c>
      <c r="V20" s="119">
        <f>+'[1]Tablero de control'!V26-'[1]Tablero de control'!U26</f>
        <v>91642</v>
      </c>
      <c r="W20" s="119">
        <f>+'[1]Tablero de control'!W26-'[1]Tablero de control'!V26</f>
        <v>91642</v>
      </c>
      <c r="X20" s="119">
        <f>+'[1]Tablero de control'!X26-'[1]Tablero de control'!W26</f>
        <v>91642</v>
      </c>
      <c r="Y20" s="119">
        <f>+'[1]Tablero de control'!Y26-'[1]Tablero de control'!X26</f>
        <v>91642</v>
      </c>
      <c r="Z20" s="119">
        <f>+'[1]Tablero de control'!Z26-'[1]Tablero de control'!Y26</f>
        <v>91642</v>
      </c>
      <c r="AA20" s="119">
        <f>+'[1]Tablero de control'!AA26-'[1]Tablero de control'!Z26</f>
        <v>91662</v>
      </c>
      <c r="AB20" s="119">
        <f>+'[1]Tablero de control'!AB26-'[1]Tablero de control'!AA26+35318</f>
        <v>47475</v>
      </c>
      <c r="AC20" s="119">
        <f>+'[1]Tablero de control'!AC26-'[1]Tablero de control'!AB26+35318</f>
        <v>47475</v>
      </c>
      <c r="AD20" s="119">
        <f>+'[1]Tablero de control'!AD26-'[1]Tablero de control'!AC26+35319-26476-4</f>
        <v>20994</v>
      </c>
      <c r="AE20" s="119">
        <v>0</v>
      </c>
      <c r="AF20" s="119"/>
      <c r="AG20" s="119"/>
      <c r="AH20" s="110">
        <f>SUM(C20:AG20)-O20</f>
        <v>3948400.149999999</v>
      </c>
      <c r="AI20" s="109">
        <f>+B20-AH20</f>
        <v>-0.14999999897554517</v>
      </c>
      <c r="AJ20" s="18"/>
      <c r="AK20" s="3"/>
      <c r="AL20" s="3"/>
      <c r="AM20" s="3"/>
    </row>
    <row r="21" spans="1:39" ht="15.75" thickBot="1" x14ac:dyDescent="0.3">
      <c r="A21" s="118" t="s">
        <v>19</v>
      </c>
      <c r="B21" s="117">
        <v>4171600</v>
      </c>
      <c r="C21" s="116">
        <f>+[1]EGRESOS!D31+[1]EGRESOS!D35+[1]EGRESOS!D39</f>
        <v>290799</v>
      </c>
      <c r="D21" s="116">
        <f>+[1]EGRESOS!E35+[1]EGRESOS!E39</f>
        <v>435120</v>
      </c>
      <c r="E21" s="116">
        <f>+[1]EGRESOS!F31+[1]EGRESOS!F35+[1]EGRESOS!F39</f>
        <v>244011</v>
      </c>
      <c r="F21" s="116">
        <f>+[1]EGRESOS!G31+[1]EGRESOS!G35+[1]EGRESOS!G39</f>
        <v>206965.99721730282</v>
      </c>
      <c r="G21" s="116">
        <f>+[1]EGRESOS!H35+[1]EGRESOS!H39</f>
        <v>82065.506940203544</v>
      </c>
      <c r="H21" s="116">
        <f>+[1]EGRESOS!I35+[1]EGRESOS!I39</f>
        <v>14788.498289058522</v>
      </c>
      <c r="I21" s="116">
        <f>+[1]EGRESOS!J35+[1]EGRESOS!J39+[1]EGRESOS!J31</f>
        <v>107828.38329249364</v>
      </c>
      <c r="J21" s="116">
        <f>+[1]EGRESOS!K35+[1]EGRESOS!K39+[1]EGRESOS!K31+[1]EGRESOS!K41</f>
        <v>204844.78195292619</v>
      </c>
      <c r="K21" s="116">
        <f>+[1]EGRESOS!L35+[1]EGRESOS!L39+[1]EGRESOS!L31+[1]EGRESOS!L41-1</f>
        <v>105138.26210127228</v>
      </c>
      <c r="L21" s="116">
        <f>+[1]EGRESOS!M35+[1]EGRESOS!M39+[1]EGRESOS!M31+[1]EGRESOS!M41-1</f>
        <v>95671.257474554703</v>
      </c>
      <c r="M21" s="116">
        <f>+[1]EGRESOS!N35+[1]EGRESOS!N39+[1]EGRESOS!N31+[1]EGRESOS!N41-1</f>
        <v>94786.21612595419</v>
      </c>
      <c r="N21" s="116">
        <f>+[1]EGRESOS!O35+[1]EGRESOS!O39+[1]EGRESOS!O31+[1]EGRESOS!O41-1</f>
        <v>94001.266431297714</v>
      </c>
      <c r="O21" s="102">
        <f>SUM(C21:N21)</f>
        <v>1976020.1698250636</v>
      </c>
      <c r="P21" s="56">
        <f>+'[1]Tablero de control'!P31-'[1]Tablero de control'!O31</f>
        <v>91291.561930909054</v>
      </c>
      <c r="Q21" s="56">
        <f>+'[1]Tablero de control'!Q31-'[1]Tablero de control'!P31</f>
        <v>91291.561930909287</v>
      </c>
      <c r="R21" s="56">
        <f>+'[1]Tablero de control'!R31-'[1]Tablero de control'!Q31</f>
        <v>91291.561930909287</v>
      </c>
      <c r="S21" s="56">
        <f>+'[1]Tablero de control'!S31-'[1]Tablero de control'!R31</f>
        <v>92278.201930908952</v>
      </c>
      <c r="T21" s="56">
        <f>+'[1]Tablero de control'!T31-'[1]Tablero de control'!S31</f>
        <v>81145.438930909149</v>
      </c>
      <c r="U21" s="56">
        <f>+'[1]Tablero de control'!U31-'[1]Tablero de control'!T31</f>
        <v>81145.438930909149</v>
      </c>
      <c r="V21" s="56">
        <f>+'[1]Tablero de control'!V31-'[1]Tablero de control'!U31</f>
        <v>81145.438930909149</v>
      </c>
      <c r="W21" s="56">
        <f>+'[1]Tablero de control'!W31-'[1]Tablero de control'!V31</f>
        <v>235220.41493090894</v>
      </c>
      <c r="X21" s="56">
        <f>+'[1]Tablero de control'!X31-'[1]Tablero de control'!W31</f>
        <v>95648.558930909261</v>
      </c>
      <c r="Y21" s="56">
        <f>+'[1]Tablero de control'!Y31-'[1]Tablero de control'!X31</f>
        <v>94301.438930909149</v>
      </c>
      <c r="Z21" s="56">
        <f>+'[1]Tablero de control'!Z31-'[1]Tablero de control'!Y31</f>
        <v>104551.43893090915</v>
      </c>
      <c r="AA21" s="56">
        <f>+'[1]Tablero de control'!AA31-'[1]Tablero de control'!Z31</f>
        <v>949445.92933090916</v>
      </c>
      <c r="AB21" s="56">
        <f>+'[1]Tablero de control'!AB31-'[1]Tablero de control'!AA31</f>
        <v>76918.41473090928</v>
      </c>
      <c r="AC21" s="56">
        <f>+'[1]Tablero de control'!AC31-'[1]Tablero de control'!AB31+37642-25911</f>
        <v>15111.597639999818</v>
      </c>
      <c r="AD21" s="56">
        <f>10917+93725-59409-30440</f>
        <v>14793</v>
      </c>
      <c r="AE21" s="56">
        <v>0</v>
      </c>
      <c r="AF21" s="56">
        <v>0</v>
      </c>
      <c r="AG21" s="56">
        <v>0</v>
      </c>
      <c r="AH21" s="110">
        <f>SUM(C21:AG21)-O21</f>
        <v>4171600.1677668826</v>
      </c>
      <c r="AI21" s="109">
        <f>+B21-AH21</f>
        <v>-0.16776688257232308</v>
      </c>
      <c r="AJ21" s="18"/>
      <c r="AK21" s="3"/>
      <c r="AL21" s="3"/>
      <c r="AM21" s="3"/>
    </row>
    <row r="22" spans="1:39" ht="16.5" thickTop="1" thickBot="1" x14ac:dyDescent="0.3">
      <c r="A22" s="107" t="s">
        <v>18</v>
      </c>
      <c r="B22" s="115">
        <f>SUM(B18:B21)</f>
        <v>22420000</v>
      </c>
      <c r="C22" s="114">
        <f>SUM(C18:C21)</f>
        <v>302888</v>
      </c>
      <c r="D22" s="113">
        <f>SUM(D18:D21)</f>
        <v>3234215</v>
      </c>
      <c r="E22" s="113">
        <f>SUM(E18:E21)</f>
        <v>2010470.69</v>
      </c>
      <c r="F22" s="113">
        <f>SUM(F18:F21)</f>
        <v>1371784.7126117048</v>
      </c>
      <c r="G22" s="113">
        <f>SUM(G18:G21)</f>
        <v>672835.00414122129</v>
      </c>
      <c r="H22" s="113">
        <f>SUM(H18:H21)</f>
        <v>59413.796431552153</v>
      </c>
      <c r="I22" s="113">
        <f>SUM(I18:I21)</f>
        <v>954165.3212568704</v>
      </c>
      <c r="J22" s="113">
        <f>SUM(J18:J21)</f>
        <v>805015.14159669215</v>
      </c>
      <c r="K22" s="113">
        <f>SUM(K18:K21)</f>
        <v>727589.93955674302</v>
      </c>
      <c r="L22" s="113">
        <f>SUM(L18:L21)</f>
        <v>678047.51098600507</v>
      </c>
      <c r="M22" s="113">
        <f>SUM(M18:M21)</f>
        <v>683457.90930661582</v>
      </c>
      <c r="N22" s="113">
        <f>SUM(N18:N21)</f>
        <v>676358.33396310441</v>
      </c>
      <c r="O22" s="112"/>
      <c r="P22" s="111">
        <f>SUM(P18:P21)</f>
        <v>706492.65283999988</v>
      </c>
      <c r="Q22" s="111">
        <f>SUM(Q18:Q21)</f>
        <v>718006.65284000011</v>
      </c>
      <c r="R22" s="111">
        <f>SUM(R18:R21)</f>
        <v>726492.65284000011</v>
      </c>
      <c r="S22" s="111">
        <f>SUM(S18:S21)</f>
        <v>695729.29284000071</v>
      </c>
      <c r="T22" s="111">
        <f>SUM(T18:T21)</f>
        <v>677596.52984000091</v>
      </c>
      <c r="U22" s="111">
        <f>SUM(U18:U21)</f>
        <v>674451.52984000091</v>
      </c>
      <c r="V22" s="111">
        <f>SUM(V18:V21)</f>
        <v>667596.52984000091</v>
      </c>
      <c r="W22" s="111">
        <f>SUM(W18:W21)</f>
        <v>821671.5058400007</v>
      </c>
      <c r="X22" s="111">
        <f>SUM(X18:X21)</f>
        <v>688099.64984000102</v>
      </c>
      <c r="Y22" s="111">
        <f>SUM(Y18:Y21)</f>
        <v>680752.52984000091</v>
      </c>
      <c r="Z22" s="111">
        <f>SUM(Z18:Z21)</f>
        <v>691002.52984000091</v>
      </c>
      <c r="AA22" s="111">
        <f>SUM(AA18:AA21)</f>
        <v>1538801.0202400009</v>
      </c>
      <c r="AB22" s="111">
        <f>SUM(AB18:AB21)</f>
        <v>615851.50564000104</v>
      </c>
      <c r="AC22" s="111">
        <f>SUM(AC18:AC21)</f>
        <v>305426.59763999982</v>
      </c>
      <c r="AD22" s="111">
        <f>SUM(AD18:AD21)</f>
        <v>35787</v>
      </c>
      <c r="AE22" s="111">
        <f>SUM(AE18:AE21)</f>
        <v>0</v>
      </c>
      <c r="AF22" s="111">
        <f>SUM(AF18:AF21)</f>
        <v>0</v>
      </c>
      <c r="AG22" s="111">
        <f>SUM(AG18:AG21)</f>
        <v>0</v>
      </c>
      <c r="AH22" s="110">
        <f>SUM(C22:AG22)</f>
        <v>22419999.539610513</v>
      </c>
      <c r="AI22" s="109">
        <f>+B22-AH22</f>
        <v>0.46038948744535446</v>
      </c>
      <c r="AJ22" s="108"/>
      <c r="AK22" s="2"/>
      <c r="AL22" s="2"/>
      <c r="AM22" s="2"/>
    </row>
    <row r="23" spans="1:39" ht="16.5" thickTop="1" thickBot="1" x14ac:dyDescent="0.3">
      <c r="A23" s="107" t="s">
        <v>13</v>
      </c>
      <c r="B23" s="106">
        <f>SUM(B18:B21)</f>
        <v>22420000</v>
      </c>
      <c r="C23" s="90">
        <f>+C22</f>
        <v>302888</v>
      </c>
      <c r="D23" s="90">
        <f>+D22+C23</f>
        <v>3537103</v>
      </c>
      <c r="E23" s="90">
        <f>+E22+D23</f>
        <v>5547573.6899999995</v>
      </c>
      <c r="F23" s="90">
        <f>+F22+E23</f>
        <v>6919358.4026117045</v>
      </c>
      <c r="G23" s="90">
        <f>+G22+F23</f>
        <v>7592193.4067529254</v>
      </c>
      <c r="H23" s="90">
        <f>+H22+G23</f>
        <v>7651607.203184478</v>
      </c>
      <c r="I23" s="90">
        <f>+I22+H23</f>
        <v>8605772.5244413484</v>
      </c>
      <c r="J23" s="90">
        <f>+J22+I23</f>
        <v>9410787.6660380401</v>
      </c>
      <c r="K23" s="90">
        <f>+K22+J23</f>
        <v>10138377.605594784</v>
      </c>
      <c r="L23" s="90">
        <f>+L22+K23</f>
        <v>10816425.11658079</v>
      </c>
      <c r="M23" s="90">
        <f>+M22+L23</f>
        <v>11499883.025887405</v>
      </c>
      <c r="N23" s="90">
        <f>+N22+M23</f>
        <v>12176241.359850509</v>
      </c>
      <c r="O23" s="89"/>
      <c r="P23" s="88">
        <f>+P22+N23</f>
        <v>12882734.012690509</v>
      </c>
      <c r="Q23" s="88">
        <f>+Q22+P23</f>
        <v>13600740.665530508</v>
      </c>
      <c r="R23" s="88">
        <f>+R22+Q23</f>
        <v>14327233.318370508</v>
      </c>
      <c r="S23" s="88">
        <f>+S22+R23</f>
        <v>15022962.611210508</v>
      </c>
      <c r="T23" s="88">
        <f>+T22+S23</f>
        <v>15700559.14105051</v>
      </c>
      <c r="U23" s="88">
        <f>+U22+T23</f>
        <v>16375010.67089051</v>
      </c>
      <c r="V23" s="88">
        <f>+V22+U23</f>
        <v>17042607.20073051</v>
      </c>
      <c r="W23" s="88">
        <f>+W22+V23</f>
        <v>17864278.70657051</v>
      </c>
      <c r="X23" s="88">
        <f>+X22+W23</f>
        <v>18552378.356410511</v>
      </c>
      <c r="Y23" s="88">
        <f>+Y22+X23</f>
        <v>19233130.886250511</v>
      </c>
      <c r="Z23" s="88">
        <f>+Z22+Y23</f>
        <v>19924133.416090511</v>
      </c>
      <c r="AA23" s="88">
        <f>+AA22+Z23</f>
        <v>21462934.436330512</v>
      </c>
      <c r="AB23" s="88">
        <f>+AB22+AA23</f>
        <v>22078785.941970512</v>
      </c>
      <c r="AC23" s="88">
        <f>+AC22+AB23</f>
        <v>22384212.539610513</v>
      </c>
      <c r="AD23" s="88">
        <f>+AD22+AC23</f>
        <v>22419999.539610513</v>
      </c>
      <c r="AE23" s="88">
        <f>+AE22+AD23</f>
        <v>22419999.539610513</v>
      </c>
      <c r="AF23" s="88">
        <f>+AF22+AE23</f>
        <v>22419999.539610513</v>
      </c>
      <c r="AG23" s="88">
        <f>+AG22+AF23</f>
        <v>22419999.539610513</v>
      </c>
      <c r="AH23" s="105">
        <f>+AH21+AH20+AH19+AH18</f>
        <v>22419999.539610527</v>
      </c>
      <c r="AI23" s="104"/>
      <c r="AJ23" s="18"/>
      <c r="AK23" s="3"/>
      <c r="AL23" s="3"/>
      <c r="AM23" s="3"/>
    </row>
    <row r="24" spans="1:39" ht="15.75" thickBot="1" x14ac:dyDescent="0.3">
      <c r="A24" s="2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57"/>
      <c r="P24" s="67"/>
      <c r="Q24" s="67"/>
      <c r="R24" s="67"/>
      <c r="S24" s="67"/>
      <c r="T24" s="67"/>
      <c r="U24" s="67"/>
      <c r="V24" s="67"/>
      <c r="W24" s="67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94"/>
      <c r="AI24" s="71"/>
      <c r="AJ24" s="19"/>
      <c r="AK24" s="2"/>
      <c r="AL24" s="2"/>
      <c r="AM24" s="2"/>
    </row>
    <row r="25" spans="1:39" ht="15.75" thickBot="1" x14ac:dyDescent="0.3">
      <c r="A25" s="77" t="s">
        <v>17</v>
      </c>
      <c r="B25" s="76" t="s">
        <v>14</v>
      </c>
      <c r="C25" s="103">
        <v>0</v>
      </c>
      <c r="D25" s="103">
        <v>0</v>
      </c>
      <c r="E25" s="103">
        <f>+'[1]Tablero de control'!F36</f>
        <v>200891.24936386768</v>
      </c>
      <c r="F25" s="103">
        <f>+[1]Resumen!E34</f>
        <v>34608.150127226465</v>
      </c>
      <c r="G25" s="103">
        <f>+[1]Resumen!F34</f>
        <v>55836.521628498725</v>
      </c>
      <c r="H25" s="103">
        <v>0</v>
      </c>
      <c r="I25" s="103">
        <f>+'[1]Tablero de control'!J36</f>
        <v>116739.51043256996</v>
      </c>
      <c r="J25" s="103">
        <f>+'[1]Tablero de control'!K36</f>
        <v>155759.19451653943</v>
      </c>
      <c r="K25" s="103">
        <f>+'[1]Tablero de control'!L36</f>
        <v>80893.394783715019</v>
      </c>
      <c r="L25" s="103">
        <f>+'[1]Tablero de control'!M36</f>
        <v>183708.76928753179</v>
      </c>
      <c r="M25" s="103">
        <f>+'[1]Tablero de control'!N36</f>
        <v>117831.90555979643</v>
      </c>
      <c r="N25" s="103">
        <f>+'[1]Tablero de control'!O36</f>
        <v>151105.87362595421</v>
      </c>
      <c r="O25" s="102">
        <f>SUM(C25:N25)</f>
        <v>1097374.5693256995</v>
      </c>
      <c r="P25" s="56">
        <f>+((P18*0.875)*0.5*((P40/Mat)-1)+(P18*0.875)*0.5*((P41/MO)-1))*1.105</f>
        <v>170943.53193051176</v>
      </c>
      <c r="Q25" s="56">
        <f>+((Q18*0.875)*0.5*((Q40/Mat)-1)+(Q18*0.875)*0.5*((Q41/MO)-1))*1.105</f>
        <v>184178.15274417817</v>
      </c>
      <c r="R25" s="56">
        <f>+((R18*0.875)*0.5*((R40/Mat)-1)+(R18*0.875)*0.5*((R41/MO)-1))*1.105</f>
        <v>197684.08328452468</v>
      </c>
      <c r="S25" s="56">
        <f>+((S18*0.875)*0.5*((S40/Mat)-1)+(S18*0.875)*0.5*((S41/MO)-1))*1.105</f>
        <v>211466.8854009487</v>
      </c>
      <c r="T25" s="56">
        <f>+((T18*0.875)*0.5*((T40/Mat)-1)+(T18*0.875)*0.5*((T41/MO)-1))*1.105</f>
        <v>225532.23496075909</v>
      </c>
      <c r="U25" s="56">
        <f>+((U18*0.875)*0.5*((U40/Mat)-1)+(U18*0.875)*0.5*((U41/MO)-1))*1.105</f>
        <v>239885.92418654554</v>
      </c>
      <c r="V25" s="56">
        <f>+((V18*0.875)*0.5*((V40/Mat)-1)+(V18*0.875)*0.5*((V41/MO)-1))*1.105</f>
        <v>254533.86404146062</v>
      </c>
      <c r="W25" s="56">
        <f>+((W18*0.875)*0.5*((W40/Mat)-1)+(W18*0.875)*0.5*((W41/MO)-1))*1.105</f>
        <v>269482.08666340139</v>
      </c>
      <c r="X25" s="56">
        <f>+((X18*0.875)*0.5*((X40/Mat)-1)+(X18*0.875)*0.5*((X41/MO)-1))*1.105</f>
        <v>284736.74784909218</v>
      </c>
      <c r="Y25" s="56">
        <f>+((Y18*0.875)*0.5*((Y40/Mat)-1)+(Y18*0.875)*0.5*((Y41/MO)-1))*1.105</f>
        <v>300304.12958908943</v>
      </c>
      <c r="Z25" s="56">
        <f>+((Z18*0.875)*0.5*((Z40/Mat)-1)+(Z18*0.875)*0.5*((Z41/MO)-1))*1.105</f>
        <v>316190.64265475667</v>
      </c>
      <c r="AA25" s="56">
        <f>+((AA18*0.875)*0.5*((AA40/Mat)-1)+(AA18*0.875)*0.5*((AA41/MO)-1))*1.105</f>
        <v>332402.82923827012</v>
      </c>
      <c r="AB25" s="56">
        <f>+((AB18*0.875)*0.5*((AB40/Mat)-1)+(AB18*0.875)*0.5*((AB41/MO)-1))*1.105</f>
        <v>348947.36564674554</v>
      </c>
      <c r="AC25" s="56">
        <f>+((AC18*0.875)*0.5*((AC40/Mat)-1)+(AC18*0.875)*0.5*((AC41/MO)-1))*1.105</f>
        <v>180967.14337192968</v>
      </c>
      <c r="AD25" s="56">
        <f>+((AD18*0.875)*0.5*((AD40/Mat)-1)+(AD18*0.875)*0.5*((AD41/MO)-1))*1.105</f>
        <v>0</v>
      </c>
      <c r="AE25" s="56">
        <f>+((AE18*0.875)*0.5*((AE40/Mat)-1)+(AE18*0.875)*0.5*((AE41/MO)-1))*1.105</f>
        <v>0</v>
      </c>
      <c r="AF25" s="56">
        <f>+((AF18*0.875)*0.5*((AF40/Mat)-1)+(AF18*0.875)*0.5*((AF41/MO)-1))*1.105</f>
        <v>0</v>
      </c>
      <c r="AG25" s="56">
        <f>+((AG18*0.875)*0.5*((AG40/Mat)-1)+(AG18*0.875)*0.5*((AG41/MO)-1))*1.105</f>
        <v>0</v>
      </c>
      <c r="AH25" s="101">
        <f>SUM(C25:AG25)-O25</f>
        <v>4614630.1908879131</v>
      </c>
      <c r="AI25" s="62"/>
      <c r="AJ25" s="100"/>
      <c r="AK25" s="99"/>
      <c r="AL25" s="3"/>
      <c r="AM25" s="3"/>
    </row>
    <row r="26" spans="1:39" ht="16.5" thickTop="1" thickBot="1" x14ac:dyDescent="0.3">
      <c r="A26" s="77"/>
      <c r="B26" s="76" t="s">
        <v>13</v>
      </c>
      <c r="C26" s="90">
        <f>+C25</f>
        <v>0</v>
      </c>
      <c r="D26" s="90">
        <f>+D25+C26</f>
        <v>0</v>
      </c>
      <c r="E26" s="90">
        <f>+E25+D26</f>
        <v>200891.24936386768</v>
      </c>
      <c r="F26" s="90">
        <f>+F25+E26</f>
        <v>235499.39949109414</v>
      </c>
      <c r="G26" s="90">
        <f>+G25+F26</f>
        <v>291335.92111959285</v>
      </c>
      <c r="H26" s="90">
        <f>+H25+G26</f>
        <v>291335.92111959285</v>
      </c>
      <c r="I26" s="90">
        <f>+I25+H26</f>
        <v>408075.4315521628</v>
      </c>
      <c r="J26" s="90">
        <f>+J25+I26</f>
        <v>563834.6260687022</v>
      </c>
      <c r="K26" s="90">
        <f>+K25+J26</f>
        <v>644728.02085241722</v>
      </c>
      <c r="L26" s="90">
        <f>+K26+L25</f>
        <v>828436.79013994895</v>
      </c>
      <c r="M26" s="90">
        <f>+L26+M25</f>
        <v>946268.69569974532</v>
      </c>
      <c r="N26" s="90">
        <f>+M26+N25</f>
        <v>1097374.5693256995</v>
      </c>
      <c r="O26" s="89"/>
      <c r="P26" s="98">
        <f>+N26+P25</f>
        <v>1268318.1012562113</v>
      </c>
      <c r="Q26" s="98">
        <f>+P26+Q25</f>
        <v>1452496.2540003895</v>
      </c>
      <c r="R26" s="98">
        <f>+Q26+R25</f>
        <v>1650180.3372849142</v>
      </c>
      <c r="S26" s="98">
        <f>+R26+S25</f>
        <v>1861647.2226858628</v>
      </c>
      <c r="T26" s="98">
        <f>+S26+T25</f>
        <v>2087179.4576466219</v>
      </c>
      <c r="U26" s="98">
        <f>+T26+U25</f>
        <v>2327065.3818331673</v>
      </c>
      <c r="V26" s="98">
        <f>+U26+V25</f>
        <v>2581599.245874628</v>
      </c>
      <c r="W26" s="98">
        <f>+V26+W25</f>
        <v>2851081.3325380292</v>
      </c>
      <c r="X26" s="98">
        <f>+W26+X25</f>
        <v>3135818.0803871215</v>
      </c>
      <c r="Y26" s="98">
        <f>+X26+Y25</f>
        <v>3436122.2099762112</v>
      </c>
      <c r="Z26" s="98">
        <f>+Y26+Z25</f>
        <v>3752312.8526309677</v>
      </c>
      <c r="AA26" s="98">
        <f>+Z26+AA25</f>
        <v>4084715.6818692377</v>
      </c>
      <c r="AB26" s="98">
        <f>+AA26+AB25</f>
        <v>4433663.0475159828</v>
      </c>
      <c r="AC26" s="98">
        <f>+AB26+AC25</f>
        <v>4614630.1908879122</v>
      </c>
      <c r="AD26" s="98">
        <f>+AC26+AD25</f>
        <v>4614630.1908879122</v>
      </c>
      <c r="AE26" s="98">
        <f>+AD26+AE25</f>
        <v>4614630.1908879122</v>
      </c>
      <c r="AF26" s="98">
        <f>+AE26+AF25</f>
        <v>4614630.1908879122</v>
      </c>
      <c r="AG26" s="98">
        <f>+AF26+AG25</f>
        <v>4614630.1908879122</v>
      </c>
      <c r="AH26" s="97"/>
      <c r="AI26" s="96"/>
      <c r="AJ26" s="19"/>
      <c r="AK26" s="2"/>
      <c r="AL26" s="2"/>
      <c r="AM26" s="2"/>
    </row>
    <row r="27" spans="1:39" ht="15.75" thickBot="1" x14ac:dyDescent="0.3">
      <c r="A27" s="39"/>
      <c r="B27" s="66"/>
      <c r="C27" s="67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9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4"/>
      <c r="AA27" s="64"/>
      <c r="AB27" s="64"/>
      <c r="AC27" s="64"/>
      <c r="AD27" s="64"/>
      <c r="AE27" s="64"/>
      <c r="AF27" s="64"/>
      <c r="AG27" s="64"/>
      <c r="AH27" s="94"/>
      <c r="AI27" s="84"/>
      <c r="AJ27" s="19"/>
      <c r="AK27" s="2"/>
      <c r="AL27" s="2"/>
      <c r="AM27" s="2"/>
    </row>
    <row r="28" spans="1:39" ht="15.75" thickBot="1" x14ac:dyDescent="0.3">
      <c r="A28" s="77" t="s">
        <v>16</v>
      </c>
      <c r="B28" s="76" t="s">
        <v>14</v>
      </c>
      <c r="C28" s="93">
        <v>0</v>
      </c>
      <c r="D28" s="93">
        <v>0</v>
      </c>
      <c r="E28" s="93">
        <v>0</v>
      </c>
      <c r="F28" s="93">
        <v>0</v>
      </c>
      <c r="G28" s="93">
        <v>0</v>
      </c>
      <c r="H28" s="93"/>
      <c r="I28" s="93"/>
      <c r="J28" s="93"/>
      <c r="K28" s="93"/>
      <c r="L28" s="93"/>
      <c r="M28" s="93"/>
      <c r="N28" s="93"/>
      <c r="O28" s="92"/>
      <c r="P28" s="91"/>
      <c r="Q28" s="91"/>
      <c r="R28" s="91"/>
      <c r="S28" s="91">
        <v>20000</v>
      </c>
      <c r="T28" s="91">
        <v>30000</v>
      </c>
      <c r="U28" s="91">
        <f>+T28</f>
        <v>30000</v>
      </c>
      <c r="V28" s="91">
        <f>+U28</f>
        <v>30000</v>
      </c>
      <c r="W28" s="91">
        <f>+V28</f>
        <v>30000</v>
      </c>
      <c r="X28" s="91">
        <f>+W28</f>
        <v>30000</v>
      </c>
      <c r="Y28" s="91">
        <f>+X28</f>
        <v>30000</v>
      </c>
      <c r="Z28" s="91">
        <f>+Y28</f>
        <v>30000</v>
      </c>
      <c r="AA28" s="91">
        <f>+Z28</f>
        <v>30000</v>
      </c>
      <c r="AB28" s="91">
        <f>+AA28</f>
        <v>30000</v>
      </c>
      <c r="AC28" s="91">
        <f>+AB28</f>
        <v>30000</v>
      </c>
      <c r="AD28" s="56">
        <v>20000</v>
      </c>
      <c r="AE28" s="56">
        <v>10000</v>
      </c>
      <c r="AF28" s="56"/>
      <c r="AG28" s="56"/>
      <c r="AH28" s="80">
        <f>SUM(C28:AG28)</f>
        <v>350000</v>
      </c>
      <c r="AI28" s="84"/>
      <c r="AJ28" s="19"/>
      <c r="AK28" s="2"/>
      <c r="AL28" s="2"/>
      <c r="AM28" s="2"/>
    </row>
    <row r="29" spans="1:39" ht="16.5" thickTop="1" thickBot="1" x14ac:dyDescent="0.3">
      <c r="A29" s="77"/>
      <c r="B29" s="76" t="s">
        <v>13</v>
      </c>
      <c r="C29" s="90">
        <f>+C28</f>
        <v>0</v>
      </c>
      <c r="D29" s="90">
        <f>+D28+C29</f>
        <v>0</v>
      </c>
      <c r="E29" s="90">
        <f>+E28+D29</f>
        <v>0</v>
      </c>
      <c r="F29" s="90">
        <f>+F28+E29</f>
        <v>0</v>
      </c>
      <c r="G29" s="90">
        <f>+G28+F29</f>
        <v>0</v>
      </c>
      <c r="H29" s="90">
        <f>+H28+G29</f>
        <v>0</v>
      </c>
      <c r="I29" s="90">
        <f>+I28+H29</f>
        <v>0</v>
      </c>
      <c r="J29" s="90">
        <f>+J28+I29</f>
        <v>0</v>
      </c>
      <c r="K29" s="90">
        <f>+K28+J29</f>
        <v>0</v>
      </c>
      <c r="L29" s="90">
        <f>+L28+K29</f>
        <v>0</v>
      </c>
      <c r="M29" s="90">
        <f>+M28+L29</f>
        <v>0</v>
      </c>
      <c r="N29" s="90">
        <f>+N28+M29</f>
        <v>0</v>
      </c>
      <c r="O29" s="89"/>
      <c r="P29" s="88">
        <f>+P28+N29</f>
        <v>0</v>
      </c>
      <c r="Q29" s="88">
        <f>+Q28+P29</f>
        <v>0</v>
      </c>
      <c r="R29" s="88">
        <f>+R28+Q29</f>
        <v>0</v>
      </c>
      <c r="S29" s="88">
        <f>+S28+R29</f>
        <v>20000</v>
      </c>
      <c r="T29" s="88">
        <f>+T28+S29</f>
        <v>50000</v>
      </c>
      <c r="U29" s="88">
        <f>+U28+T29</f>
        <v>80000</v>
      </c>
      <c r="V29" s="88">
        <f>+V28+U29</f>
        <v>110000</v>
      </c>
      <c r="W29" s="88">
        <f>+W28+V29</f>
        <v>140000</v>
      </c>
      <c r="X29" s="88">
        <f>+X28+W29</f>
        <v>170000</v>
      </c>
      <c r="Y29" s="88">
        <f>+Y28+X29</f>
        <v>200000</v>
      </c>
      <c r="Z29" s="88">
        <f>+Z28+Y29</f>
        <v>230000</v>
      </c>
      <c r="AA29" s="88">
        <f>+AA28+Z29</f>
        <v>260000</v>
      </c>
      <c r="AB29" s="88">
        <f>+AB28+AA29</f>
        <v>290000</v>
      </c>
      <c r="AC29" s="88">
        <f>+AC28+AB29</f>
        <v>320000</v>
      </c>
      <c r="AD29" s="88">
        <f>+AD28+AC29</f>
        <v>340000</v>
      </c>
      <c r="AE29" s="88">
        <f>+AE28+AD29</f>
        <v>350000</v>
      </c>
      <c r="AF29" s="88">
        <f>+AF28+AE29</f>
        <v>350000</v>
      </c>
      <c r="AG29" s="88">
        <f>+AG28+AF29</f>
        <v>350000</v>
      </c>
      <c r="AH29" s="87"/>
      <c r="AI29" s="84"/>
      <c r="AJ29" s="79"/>
      <c r="AK29" s="86"/>
      <c r="AL29" s="78"/>
      <c r="AM29" s="50"/>
    </row>
    <row r="30" spans="1:39" ht="15.75" thickBot="1" x14ac:dyDescent="0.3">
      <c r="A30" s="39"/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57"/>
      <c r="P30" s="66"/>
      <c r="Q30" s="65"/>
      <c r="R30" s="65"/>
      <c r="S30" s="65"/>
      <c r="T30" s="65"/>
      <c r="U30" s="65"/>
      <c r="V30" s="65"/>
      <c r="W30" s="65"/>
      <c r="X30" s="65"/>
      <c r="Y30" s="66"/>
      <c r="Z30" s="64"/>
      <c r="AA30" s="64"/>
      <c r="AB30" s="64"/>
      <c r="AC30" s="64"/>
      <c r="AD30" s="64"/>
      <c r="AE30" s="64"/>
      <c r="AF30" s="64"/>
      <c r="AG30" s="64"/>
      <c r="AH30" s="85"/>
      <c r="AI30" s="84"/>
      <c r="AJ30" s="79"/>
      <c r="AK30" s="78"/>
      <c r="AL30" s="78"/>
      <c r="AM30" s="2"/>
    </row>
    <row r="31" spans="1:39" ht="15.75" thickBot="1" x14ac:dyDescent="0.3">
      <c r="A31" s="77" t="s">
        <v>15</v>
      </c>
      <c r="B31" s="76" t="s">
        <v>14</v>
      </c>
      <c r="C31" s="83">
        <f>+'[1]Tablero de control'!D40</f>
        <v>9040.8180565467919</v>
      </c>
      <c r="D31" s="83">
        <f>+'[1]Tablero de control'!E40</f>
        <v>5040.8015267175506</v>
      </c>
      <c r="E31" s="83">
        <f>+'[1]Tablero de control'!F40</f>
        <v>-5818.3918575063581</v>
      </c>
      <c r="F31" s="83">
        <f>+'[1]Tablero de control'!G40</f>
        <v>-8004</v>
      </c>
      <c r="G31" s="83">
        <f>+'[1]Tablero de control'!H40</f>
        <v>-10854</v>
      </c>
      <c r="H31" s="83">
        <f>+'[1]Tablero de control'!I40</f>
        <v>1418</v>
      </c>
      <c r="I31" s="83">
        <f>+'[1]Tablero de control'!J40</f>
        <v>-28537.219406713164</v>
      </c>
      <c r="J31" s="83">
        <f>+'[1]Tablero de control'!K40</f>
        <v>-32933.66283288502</v>
      </c>
      <c r="K31" s="83">
        <f>+'[1]Tablero de control'!L40</f>
        <v>-24157.264891753119</v>
      </c>
      <c r="L31" s="83">
        <f>+'[1]Tablero de control'!M40</f>
        <v>-31641.027704134409</v>
      </c>
      <c r="M31" s="83">
        <f>+'[1]Tablero de control'!N40</f>
        <v>-29185.219863204024</v>
      </c>
      <c r="N31" s="83">
        <f>+'[1]Tablero de control'!O40</f>
        <v>-44889.38055675762</v>
      </c>
      <c r="O31" s="82">
        <f>SUM(C31:N31)</f>
        <v>-200520.54752968939</v>
      </c>
      <c r="P31" s="81">
        <f>-((P22+P25+P28-(0.15*P18))-((P22+P25+P28-(0.15*P18))*$B$4/$B$7))*0.5</f>
        <v>-42930.217719664739</v>
      </c>
      <c r="Q31" s="81">
        <f>-((Q22+Q25+Q28-(0.15*Q18))-((Q22+Q25+Q28-(0.15*Q18))*$B$4/$B$7))*0.5</f>
        <v>-44252.019058576436</v>
      </c>
      <c r="R31" s="81">
        <f>-((R22+R25+R28-(0.15*R18))-((R22+R25+R28-(0.15*R18))*$B$4/$B$7))*0.5</f>
        <v>-45426.588076072279</v>
      </c>
      <c r="S31" s="81">
        <f>-((S22+S25+S28-(0.15*S18))-((S22+S25+S28-(0.15*S18))*$B$4/$B$7))*0.5</f>
        <v>-45587.853734563105</v>
      </c>
      <c r="T31" s="81">
        <f>-((T22+T25+T28-(0.15*T18))-((T22+T25+T28-(0.15*T18))*$B$4/$B$7))*0.5</f>
        <v>-45904.70778946206</v>
      </c>
      <c r="U31" s="81">
        <f>-((U22+U25+U28-(0.15*U18))-((U22+U25+U28-(0.15*U18))*$B$4/$B$7))*0.5</f>
        <v>-46503.353691293858</v>
      </c>
      <c r="V31" s="81">
        <f>-((V22+V25+V28-(0.15*V18))-((V22+V25+V28-(0.15*V18))*$B$4/$B$7))*0.5</f>
        <v>-46919.567524454091</v>
      </c>
      <c r="W31" s="81">
        <f>-((W22+W25+W28-(0.15*W18))-((W22+W25+W28-(0.15*W18))*$B$4/$B$7))*0.5</f>
        <v>-55946.942905398668</v>
      </c>
      <c r="X31" s="81">
        <f>-((X22+X25+X28-(0.15*X18))-((X22+X25+X28-(0.15*X18))*$B$4/$B$7))*0.5</f>
        <v>-49627.729091452609</v>
      </c>
      <c r="Y31" s="81">
        <f>-((Y22+Y25+Y28-(0.15*Y18))-((Y22+Y25+Y28-(0.15*Y18))*$B$4/$B$7))*0.5</f>
        <v>-50066.765798020642</v>
      </c>
      <c r="Z31" s="81">
        <f>-((Z22+Z25+Z28-(0.15*Z18))-((Z22+Z25+Z28-(0.15*Z18))*$B$4/$B$7))*0.5</f>
        <v>-51462.693200391484</v>
      </c>
      <c r="AA31" s="81">
        <f>-((AA22+AA25+AA28-(0.15*AA18))-((AA22+AA25+AA28-(0.15*AA18))*$B$4/$B$7))*0.5</f>
        <v>-97608.717993829167</v>
      </c>
      <c r="AB31" s="81">
        <f>-((AB22+AB25+AB28-(0.15*AB18))-((AB22+AB25+AB28-(0.15*AB18))*$B$4/$B$7))*0.5</f>
        <v>-49198.452113145497</v>
      </c>
      <c r="AC31" s="81">
        <f>-((AC22+AC25+AC28-(0.15*AC18))-((AC22+AC25+AC28-(0.15*AC18))*$B$4/$B$7))*0.5</f>
        <v>-25634.640713137138</v>
      </c>
      <c r="AD31" s="81">
        <f>-((AD22+AD25+AD28-(0.15*AD18))-((AD22+AD25+AD28-(0.15*AD18))*$B$4/$B$7))*0.5</f>
        <v>-2979.5329545454551</v>
      </c>
      <c r="AE31" s="81">
        <f>-((AE22+AE25+AE28-(0.15*AE18))-((AE22+AE25+AE28-(0.15*AE18))*$B$4/$B$7))*0.5</f>
        <v>-534.09090909090901</v>
      </c>
      <c r="AF31" s="81">
        <f>-((AF22+AF25+AF28-(0.15*AF18))-((AF22+AF25+AF28-(0.15*AF18))*$B$4/$B$7))*0.5</f>
        <v>0</v>
      </c>
      <c r="AG31" s="81">
        <f>-((AG22+AG25+AG28-(0.15*AG18))-((AG22+AG25+AG28-(0.15*AG18))*$B$4/$B$7))*0.5</f>
        <v>0</v>
      </c>
      <c r="AH31" s="80">
        <f>SUM(C31:AG31)-O31</f>
        <v>-901104.4208027873</v>
      </c>
      <c r="AI31" s="71"/>
      <c r="AJ31" s="79"/>
      <c r="AK31" s="78"/>
      <c r="AL31" s="78"/>
      <c r="AM31" s="2"/>
    </row>
    <row r="32" spans="1:39" ht="16.5" thickTop="1" thickBot="1" x14ac:dyDescent="0.3">
      <c r="A32" s="77"/>
      <c r="B32" s="76" t="s">
        <v>13</v>
      </c>
      <c r="C32" s="75">
        <f>+C31</f>
        <v>9040.8180565467919</v>
      </c>
      <c r="D32" s="75">
        <f>+D31+C32</f>
        <v>14081.619583264343</v>
      </c>
      <c r="E32" s="75">
        <f>+E31+D32</f>
        <v>8263.2277257579844</v>
      </c>
      <c r="F32" s="75">
        <f>+F31+E32</f>
        <v>259.22772575798444</v>
      </c>
      <c r="G32" s="75">
        <f>+G31+F32</f>
        <v>-10594.772274242016</v>
      </c>
      <c r="H32" s="75">
        <f>+H31+G32</f>
        <v>-9176.7722742420156</v>
      </c>
      <c r="I32" s="75">
        <f>+I31+H32</f>
        <v>-37713.99168095518</v>
      </c>
      <c r="J32" s="75">
        <f>+J31+I32</f>
        <v>-70647.6545138402</v>
      </c>
      <c r="K32" s="75">
        <f>+K31+J32</f>
        <v>-94804.919405593319</v>
      </c>
      <c r="L32" s="75">
        <f>+L31+K32</f>
        <v>-126445.94710972773</v>
      </c>
      <c r="M32" s="75">
        <f>+M31+L32</f>
        <v>-155631.16697293177</v>
      </c>
      <c r="N32" s="75">
        <f>+N31+M32</f>
        <v>-200520.54752968939</v>
      </c>
      <c r="O32" s="74"/>
      <c r="P32" s="73">
        <f>+P31+N32</f>
        <v>-243450.76524935412</v>
      </c>
      <c r="Q32" s="73">
        <f>+Q31+P32</f>
        <v>-287702.78430793056</v>
      </c>
      <c r="R32" s="73">
        <f>+R31+Q32</f>
        <v>-333129.37238400284</v>
      </c>
      <c r="S32" s="73">
        <f>+S31+R32</f>
        <v>-378717.22611856594</v>
      </c>
      <c r="T32" s="73">
        <f>+T31+S32</f>
        <v>-424621.933908028</v>
      </c>
      <c r="U32" s="73">
        <f>+U31+T32</f>
        <v>-471125.28759932186</v>
      </c>
      <c r="V32" s="73">
        <f>+V31+U32</f>
        <v>-518044.85512377595</v>
      </c>
      <c r="W32" s="73">
        <f>+W31+V32</f>
        <v>-573991.79802917456</v>
      </c>
      <c r="X32" s="73">
        <f>+X31+W32</f>
        <v>-623619.52712062723</v>
      </c>
      <c r="Y32" s="73">
        <f>+Y31+X32</f>
        <v>-673686.29291864787</v>
      </c>
      <c r="Z32" s="73">
        <f>+Z31+Y32</f>
        <v>-725148.98611903936</v>
      </c>
      <c r="AA32" s="73">
        <f>+AA31+Z32</f>
        <v>-822757.70411286852</v>
      </c>
      <c r="AB32" s="73">
        <f>+AB31+AA32</f>
        <v>-871956.15622601402</v>
      </c>
      <c r="AC32" s="73">
        <f>+AC31+AB32</f>
        <v>-897590.79693915113</v>
      </c>
      <c r="AD32" s="73">
        <f>+AD31+AC32</f>
        <v>-900570.32989369659</v>
      </c>
      <c r="AE32" s="73">
        <f>+AE31+AD32</f>
        <v>-901104.42080278753</v>
      </c>
      <c r="AF32" s="73">
        <f>+AF31+AE32</f>
        <v>-901104.42080278753</v>
      </c>
      <c r="AG32" s="73">
        <f>+AG31+AF32</f>
        <v>-901104.42080278753</v>
      </c>
      <c r="AH32" s="72" t="s">
        <v>12</v>
      </c>
      <c r="AI32" s="71"/>
      <c r="AJ32" s="12"/>
      <c r="AK32" s="70"/>
      <c r="AL32" s="69"/>
      <c r="AM32" s="2"/>
    </row>
    <row r="33" spans="1:42" ht="15.75" thickBot="1" x14ac:dyDescent="0.3">
      <c r="A33" s="68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57"/>
      <c r="P33" s="66"/>
      <c r="Q33" s="65"/>
      <c r="R33" s="65"/>
      <c r="S33" s="65"/>
      <c r="T33" s="65"/>
      <c r="U33" s="65"/>
      <c r="V33" s="65"/>
      <c r="W33" s="65"/>
      <c r="X33" s="65"/>
      <c r="Y33" s="65"/>
      <c r="Z33" s="64"/>
      <c r="AA33" s="64"/>
      <c r="AB33" s="64"/>
      <c r="AC33" s="64"/>
      <c r="AD33" s="64"/>
      <c r="AE33" s="64"/>
      <c r="AF33" s="64"/>
      <c r="AG33" s="64"/>
      <c r="AH33" s="63"/>
      <c r="AI33" s="62"/>
      <c r="AJ33" s="19"/>
      <c r="AK33" s="2"/>
      <c r="AL33" s="2"/>
      <c r="AM33" s="2"/>
    </row>
    <row r="34" spans="1:42" ht="15.75" thickBot="1" x14ac:dyDescent="0.3">
      <c r="A34" s="61" t="s">
        <v>11</v>
      </c>
      <c r="B34" s="60" t="s">
        <v>10</v>
      </c>
      <c r="C34" s="59">
        <f>+C16-C23-C26-C29-C32</f>
        <v>5305799.2419434525</v>
      </c>
      <c r="D34" s="58">
        <f>+D16-D23-D26-D29-D32</f>
        <v>2117101.2104167347</v>
      </c>
      <c r="E34" s="58">
        <f>+E16-E23-E26-E29-E32</f>
        <v>1024525.4229103738</v>
      </c>
      <c r="F34" s="58">
        <f>+F16-F23-F26-F29-F32</f>
        <v>523800.06017144222</v>
      </c>
      <c r="G34" s="58">
        <f>+G16-G23-G26-G29-G32</f>
        <v>606061.99440172268</v>
      </c>
      <c r="H34" s="58">
        <f>+H16-H23-H26-H29-H32</f>
        <v>1428170.251673873</v>
      </c>
      <c r="I34" s="58">
        <f>+I16-I23-I26-I29-I32+1</f>
        <v>610608.86939114623</v>
      </c>
      <c r="J34" s="58">
        <f>+J16-J23-J26-J29-J32</f>
        <v>483262.19123275054</v>
      </c>
      <c r="K34" s="58">
        <f>+K16-K23-K26-K29-K32</f>
        <v>961649.57708670781</v>
      </c>
      <c r="L34" s="58">
        <f>+L16-L23-L26-L29-L32</f>
        <v>1217654.433854843</v>
      </c>
      <c r="M34" s="58">
        <f>+M16-M23-M26-M29-M32</f>
        <v>1442105.7888516344</v>
      </c>
      <c r="N34" s="58">
        <f>+N16-N23-N26-N29-N32</f>
        <v>1517172.8018193343</v>
      </c>
      <c r="O34" s="57"/>
      <c r="P34" s="56">
        <f>+P16-P23-P26-P29-P32</f>
        <v>1331519.1647684874</v>
      </c>
      <c r="Q34" s="56">
        <f>+Q16-Q23-Q26-Q29-Q32</f>
        <v>1122438.7082428862</v>
      </c>
      <c r="R34" s="56">
        <f>+R16-R23-R26-R29-R32</f>
        <v>892540.89019443421</v>
      </c>
      <c r="S34" s="56">
        <f>+S16-S23-S26-S29-S32</f>
        <v>851682.56568805035</v>
      </c>
      <c r="T34" s="56">
        <f>+T16-T23-T26-T29-T32</f>
        <v>805208.50867675152</v>
      </c>
      <c r="U34" s="56">
        <f>+U16-U23-U26-U29-U32</f>
        <v>748124.40834149998</v>
      </c>
      <c r="V34" s="56">
        <f>+V16-V23-V26-V29-V32</f>
        <v>913663.58198449342</v>
      </c>
      <c r="W34" s="56">
        <f>+W16-W23-W26-W29-W32</f>
        <v>919206.93238649098</v>
      </c>
      <c r="X34" s="56">
        <f>+X16-X23-X26-X29-X32</f>
        <v>1036748.2637888503</v>
      </c>
      <c r="Y34" s="56">
        <f>+Y16-Y23-Y26-Y29-Y32</f>
        <v>1146508.3701577813</v>
      </c>
      <c r="Z34" s="56">
        <f>+Z16-Z23-Z26-Z29-Z32</f>
        <v>1230777.8908634163</v>
      </c>
      <c r="AA34" s="56">
        <f>+AA16-AA23-AA26-AA29-AA32</f>
        <v>497182.75937897409</v>
      </c>
      <c r="AB34" s="56">
        <f>+AB16-AB23-AB26-AB29-AB32</f>
        <v>621582.34020537441</v>
      </c>
      <c r="AC34" s="56">
        <f>+AC16-AC23-AC26-AC29-AC32</f>
        <v>130823.23990658182</v>
      </c>
      <c r="AD34" s="56">
        <f>+AD16-AD23-AD26-AD29-AD32</f>
        <v>78015.772861127276</v>
      </c>
      <c r="AE34" s="56">
        <f>+AE16-AE23-AE26-AE29-AE32</f>
        <v>68549.863770218217</v>
      </c>
      <c r="AF34" s="56">
        <f>+AF16-AF23-AF26-AF29-AF32</f>
        <v>68549.863770218217</v>
      </c>
      <c r="AG34" s="56">
        <f>+AG16-AG23-AG26-AG29-AG32</f>
        <v>68549.863770218217</v>
      </c>
      <c r="AH34" s="55">
        <f>+AH22+AH25+AH28+AH31</f>
        <v>26483525.309695639</v>
      </c>
      <c r="AI34" s="54" t="s">
        <v>9</v>
      </c>
      <c r="AJ34" s="53"/>
      <c r="AK34" s="19"/>
      <c r="AL34" s="2"/>
      <c r="AM34" s="2"/>
    </row>
    <row r="35" spans="1:42" ht="15.75" thickBot="1" x14ac:dyDescent="0.3">
      <c r="B35" s="2"/>
      <c r="C35" s="2"/>
      <c r="D35" s="2"/>
      <c r="E35" s="2"/>
      <c r="F35" s="2"/>
      <c r="G35" s="2"/>
      <c r="H35" s="2"/>
      <c r="I35" s="2"/>
      <c r="J35" s="52"/>
      <c r="K35" s="51"/>
      <c r="L35" s="2"/>
      <c r="M35" s="2"/>
      <c r="N35" s="2"/>
      <c r="P35" s="2"/>
      <c r="Q35" s="2"/>
      <c r="R35" s="2"/>
      <c r="S35" s="2"/>
      <c r="T35" s="2"/>
      <c r="U35" s="2"/>
      <c r="V35" s="2"/>
      <c r="W35" s="2"/>
      <c r="X35" s="2"/>
      <c r="Y35" s="50"/>
      <c r="Z35" s="49"/>
      <c r="AA35" s="49"/>
      <c r="AB35" s="49"/>
      <c r="AC35" s="49"/>
      <c r="AD35" s="48" t="s">
        <v>8</v>
      </c>
      <c r="AE35" s="48"/>
      <c r="AF35" s="48"/>
      <c r="AG35" s="47"/>
      <c r="AH35" s="46">
        <f>+AH34/B3-100%</f>
        <v>0.18124555351006411</v>
      </c>
      <c r="AI35" s="45" t="s">
        <v>7</v>
      </c>
      <c r="AJ35" s="44">
        <f>+AH34/I3</f>
        <v>2883.9731361968461</v>
      </c>
      <c r="AK35" s="2"/>
      <c r="AL35" s="2"/>
      <c r="AM35" s="2"/>
    </row>
    <row r="36" spans="1:42" x14ac:dyDescent="0.25">
      <c r="A36" s="2"/>
      <c r="B36" s="2"/>
      <c r="C36" s="43"/>
      <c r="D36" s="2"/>
      <c r="E36" s="2"/>
      <c r="F36" s="2"/>
      <c r="G36" s="2"/>
      <c r="H36" s="2"/>
      <c r="I36" s="2"/>
      <c r="J36" s="43"/>
      <c r="K36" s="43"/>
      <c r="L36" s="43"/>
      <c r="M36" s="43"/>
      <c r="N36" s="43"/>
      <c r="O36" s="42"/>
      <c r="P36" s="2"/>
      <c r="Q36" s="2"/>
      <c r="R36" s="2"/>
      <c r="S36" s="2"/>
      <c r="T36" s="2"/>
      <c r="U36" s="2"/>
      <c r="V36" s="2"/>
      <c r="W36" s="2"/>
      <c r="X36" s="2"/>
      <c r="Y36" s="41"/>
      <c r="Z36" s="41"/>
      <c r="AA36" s="41"/>
      <c r="AB36" s="41"/>
      <c r="AC36" s="41"/>
      <c r="AD36" s="41"/>
      <c r="AE36" s="41"/>
      <c r="AF36" s="41"/>
      <c r="AG36" s="41"/>
      <c r="AH36" s="40"/>
      <c r="AI36" s="3"/>
      <c r="AJ36" s="2"/>
      <c r="AK36" s="2"/>
      <c r="AL36" s="2"/>
      <c r="AM36" s="2"/>
    </row>
    <row r="37" spans="1:42" ht="15.75" thickBo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P37" s="2"/>
      <c r="Q37" s="2"/>
      <c r="R37" s="2"/>
      <c r="S37" s="2"/>
      <c r="T37" s="2"/>
      <c r="U37" s="2"/>
      <c r="V37" s="2"/>
      <c r="W37" s="2"/>
      <c r="X37" s="2"/>
      <c r="Y37" s="41"/>
      <c r="Z37" s="41"/>
      <c r="AA37" s="41"/>
      <c r="AB37" s="41"/>
      <c r="AC37" s="41"/>
      <c r="AD37" s="41"/>
      <c r="AE37" s="41"/>
      <c r="AF37" s="41"/>
      <c r="AG37" s="41"/>
      <c r="AH37" s="40"/>
      <c r="AI37" s="3"/>
      <c r="AJ37" s="2"/>
      <c r="AK37" s="2"/>
      <c r="AL37" s="2"/>
      <c r="AM37" s="2"/>
    </row>
    <row r="38" spans="1:42" ht="15.75" thickBot="1" x14ac:dyDescent="0.3">
      <c r="A38" s="39" t="s">
        <v>6</v>
      </c>
      <c r="B38" s="38">
        <f>+B8</f>
        <v>2.0500000000000001E-2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3"/>
      <c r="AJ38" s="2"/>
      <c r="AK38" s="2"/>
      <c r="AL38" s="2"/>
      <c r="AM38" s="2"/>
    </row>
    <row r="39" spans="1:42" ht="15.75" thickBot="1" x14ac:dyDescent="0.3">
      <c r="A39" s="17" t="s">
        <v>5</v>
      </c>
      <c r="B39" s="37">
        <f>+N44-100%</f>
        <v>0.27572218672216509</v>
      </c>
      <c r="C39" s="36" t="s">
        <v>4</v>
      </c>
      <c r="D39" s="2"/>
      <c r="E39" s="2"/>
      <c r="F39" s="35"/>
      <c r="G39" s="31"/>
      <c r="H39" s="31"/>
      <c r="I39" s="31"/>
      <c r="J39" s="31"/>
      <c r="K39" s="31"/>
      <c r="L39" s="31"/>
      <c r="M39" s="34"/>
      <c r="N39" s="32"/>
      <c r="O39" s="33"/>
      <c r="P39" s="32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0"/>
      <c r="AI39" s="29"/>
      <c r="AJ39" s="28"/>
      <c r="AK39" s="28"/>
      <c r="AL39" s="28"/>
      <c r="AM39" s="28"/>
      <c r="AN39" s="27"/>
      <c r="AO39" s="27"/>
      <c r="AP39" s="27"/>
    </row>
    <row r="40" spans="1:42" x14ac:dyDescent="0.25">
      <c r="A40" s="17"/>
      <c r="B40" s="16" t="s">
        <v>3</v>
      </c>
      <c r="C40" s="26">
        <v>668.7</v>
      </c>
      <c r="D40" s="24">
        <v>732.7</v>
      </c>
      <c r="E40" s="24">
        <v>742</v>
      </c>
      <c r="F40" s="24">
        <v>751.6</v>
      </c>
      <c r="G40" s="24">
        <v>766.1</v>
      </c>
      <c r="H40" s="22">
        <v>782.4</v>
      </c>
      <c r="I40" s="23">
        <v>793.7</v>
      </c>
      <c r="J40" s="24">
        <v>809.1</v>
      </c>
      <c r="K40" s="23">
        <v>823</v>
      </c>
      <c r="L40" s="23">
        <v>834.8</v>
      </c>
      <c r="M40" s="22">
        <v>845.6</v>
      </c>
      <c r="N40" s="20">
        <f>+M40*(1+inf)</f>
        <v>862.9348</v>
      </c>
      <c r="O40" s="21"/>
      <c r="P40" s="20">
        <f>+N40*(1+inf)</f>
        <v>880.62496339999996</v>
      </c>
      <c r="Q40" s="20">
        <f>+P40*(1+inf)</f>
        <v>898.67777514969987</v>
      </c>
      <c r="R40" s="20">
        <f>+Q40*(1+inf)</f>
        <v>917.10066954026865</v>
      </c>
      <c r="S40" s="20">
        <f>+R40*(1+inf)</f>
        <v>935.9012332658441</v>
      </c>
      <c r="T40" s="20">
        <f>+S40*(1+inf)</f>
        <v>955.08720854779392</v>
      </c>
      <c r="U40" s="20">
        <f>+T40*(1+inf)</f>
        <v>974.66649632302369</v>
      </c>
      <c r="V40" s="20">
        <f>+U40*(1+inf)</f>
        <v>994.64715949764559</v>
      </c>
      <c r="W40" s="20">
        <f>+V40*(1+inf)</f>
        <v>1015.0374262673473</v>
      </c>
      <c r="X40" s="20">
        <f>+W40*(1+inf)</f>
        <v>1035.845693505828</v>
      </c>
      <c r="Y40" s="20">
        <f>+X40*(1+inf)</f>
        <v>1057.0805302226975</v>
      </c>
      <c r="Z40" s="20">
        <f>+Y40*(1+inf)</f>
        <v>1078.7506810922628</v>
      </c>
      <c r="AA40" s="20">
        <f>+Z40*(1+inf)</f>
        <v>1100.8650700546541</v>
      </c>
      <c r="AB40" s="20">
        <f>+AA40*(1+inf)</f>
        <v>1123.4328039907746</v>
      </c>
      <c r="AC40" s="20">
        <f>+AB40*(1+inf)</f>
        <v>1146.4631764725855</v>
      </c>
      <c r="AD40" s="20">
        <f>+AC40*(1+inf)</f>
        <v>1169.9656715902734</v>
      </c>
      <c r="AE40" s="20">
        <f>+AD40*(1+inf)</f>
        <v>1193.9499678578738</v>
      </c>
      <c r="AF40" s="20">
        <f>+AE40*(1+inf)</f>
        <v>1218.4259421989602</v>
      </c>
      <c r="AG40" s="20">
        <f>+AF40*(1+inf)</f>
        <v>1243.4036740140389</v>
      </c>
      <c r="AH40" s="19"/>
      <c r="AI40" s="18"/>
      <c r="AJ40" s="2"/>
      <c r="AK40" s="2"/>
      <c r="AL40" s="2"/>
      <c r="AM40" s="2"/>
    </row>
    <row r="41" spans="1:42" ht="15.75" thickBot="1" x14ac:dyDescent="0.3">
      <c r="A41" s="17"/>
      <c r="B41" s="16" t="s">
        <v>2</v>
      </c>
      <c r="C41" s="25">
        <v>749.8</v>
      </c>
      <c r="D41" s="24">
        <v>787.8</v>
      </c>
      <c r="E41" s="24">
        <v>844.7</v>
      </c>
      <c r="F41" s="24">
        <v>891.7</v>
      </c>
      <c r="G41" s="24">
        <v>894.3</v>
      </c>
      <c r="H41" s="22">
        <v>894.3</v>
      </c>
      <c r="I41" s="23">
        <v>952.3</v>
      </c>
      <c r="J41" s="23">
        <v>1041.2</v>
      </c>
      <c r="K41" s="23">
        <v>950.5</v>
      </c>
      <c r="L41" s="23">
        <v>1042.8</v>
      </c>
      <c r="M41" s="22">
        <v>1010.4</v>
      </c>
      <c r="N41" s="20">
        <f>+M41*(1+inf)</f>
        <v>1031.1132</v>
      </c>
      <c r="O41" s="21"/>
      <c r="P41" s="20">
        <f>+N41*(1+inf)</f>
        <v>1052.2510205999999</v>
      </c>
      <c r="Q41" s="20">
        <f>+P41*(1+inf)</f>
        <v>1073.8221665223</v>
      </c>
      <c r="R41" s="20">
        <f>+Q41*(1+inf)</f>
        <v>1095.835520936007</v>
      </c>
      <c r="S41" s="20">
        <f>+R41*(1+inf)</f>
        <v>1118.3001491151952</v>
      </c>
      <c r="T41" s="20">
        <f>+S41*(1+inf)</f>
        <v>1141.2253021720567</v>
      </c>
      <c r="U41" s="20">
        <f>+T41*(1+inf)</f>
        <v>1164.6204208665838</v>
      </c>
      <c r="V41" s="20">
        <f>+U41*(1+inf)</f>
        <v>1188.4951394943487</v>
      </c>
      <c r="W41" s="20">
        <f>+V41*(1+inf)</f>
        <v>1212.8592898539828</v>
      </c>
      <c r="X41" s="20">
        <f>+W41*(1+inf)</f>
        <v>1237.7229052959894</v>
      </c>
      <c r="Y41" s="20">
        <f>+X41*(1+inf)</f>
        <v>1263.0962248545572</v>
      </c>
      <c r="Z41" s="20">
        <f>+Y41*(1+inf)</f>
        <v>1288.9896974640756</v>
      </c>
      <c r="AA41" s="20">
        <f>+Z41*(1+inf)</f>
        <v>1315.4139862620891</v>
      </c>
      <c r="AB41" s="20">
        <f>+AA41*(1+inf)</f>
        <v>1342.3799729804618</v>
      </c>
      <c r="AC41" s="20">
        <f>+AB41*(1+inf)</f>
        <v>1369.8987624265612</v>
      </c>
      <c r="AD41" s="20">
        <f>+AC41*(1+inf)</f>
        <v>1397.9816870563056</v>
      </c>
      <c r="AE41" s="20">
        <f>+AD41*(1+inf)</f>
        <v>1426.6403116409599</v>
      </c>
      <c r="AF41" s="20">
        <f>+AE41*(1+inf)</f>
        <v>1455.8864380295995</v>
      </c>
      <c r="AG41" s="20">
        <f>+AF41*(1+inf)</f>
        <v>1485.7321100092063</v>
      </c>
      <c r="AH41" s="19"/>
      <c r="AI41" s="18"/>
      <c r="AJ41" s="2"/>
      <c r="AK41" s="2"/>
      <c r="AL41" s="2"/>
      <c r="AM41" s="2"/>
    </row>
    <row r="42" spans="1:42" x14ac:dyDescent="0.25">
      <c r="A42" s="17"/>
      <c r="B42" s="16"/>
      <c r="C42" s="15"/>
      <c r="D42" s="13"/>
      <c r="E42" s="13"/>
      <c r="F42" s="14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2"/>
      <c r="AI42" s="11"/>
      <c r="AJ42" s="4"/>
      <c r="AK42" s="4"/>
      <c r="AL42" s="4"/>
      <c r="AM42" s="4"/>
      <c r="AN42" s="4"/>
    </row>
    <row r="43" spans="1:42" x14ac:dyDescent="0.25">
      <c r="A43" s="2"/>
      <c r="B43" s="8" t="s">
        <v>1</v>
      </c>
      <c r="C43" s="9">
        <v>1</v>
      </c>
      <c r="D43" s="9">
        <v>2</v>
      </c>
      <c r="E43" s="9">
        <v>3</v>
      </c>
      <c r="F43" s="9">
        <v>4</v>
      </c>
      <c r="G43" s="9">
        <v>5</v>
      </c>
      <c r="H43" s="9">
        <v>6</v>
      </c>
      <c r="I43" s="9">
        <v>7</v>
      </c>
      <c r="J43" s="9">
        <v>8</v>
      </c>
      <c r="K43" s="9">
        <v>9</v>
      </c>
      <c r="L43" s="9">
        <v>10</v>
      </c>
      <c r="M43" s="9">
        <v>11</v>
      </c>
      <c r="N43" s="9">
        <v>12</v>
      </c>
      <c r="O43" s="10"/>
      <c r="P43" s="9">
        <v>13</v>
      </c>
      <c r="Q43" s="9">
        <v>14</v>
      </c>
      <c r="R43" s="9">
        <v>15</v>
      </c>
      <c r="S43" s="9">
        <v>16</v>
      </c>
      <c r="T43" s="9">
        <v>17</v>
      </c>
      <c r="U43" s="9">
        <v>18</v>
      </c>
      <c r="V43" s="9">
        <v>19</v>
      </c>
      <c r="W43" s="9">
        <v>20</v>
      </c>
      <c r="X43" s="9">
        <v>21</v>
      </c>
      <c r="Y43" s="9">
        <v>22</v>
      </c>
      <c r="Z43" s="9">
        <v>23</v>
      </c>
      <c r="AA43" s="9">
        <v>24</v>
      </c>
      <c r="AB43" s="9">
        <v>25</v>
      </c>
      <c r="AC43" s="9">
        <v>26</v>
      </c>
      <c r="AD43" s="9">
        <v>27</v>
      </c>
      <c r="AE43" s="9">
        <v>28</v>
      </c>
      <c r="AF43" s="9">
        <v>29</v>
      </c>
      <c r="AG43" s="9">
        <v>30</v>
      </c>
      <c r="AH43" s="4"/>
      <c r="AI43" s="5"/>
      <c r="AJ43" s="4"/>
      <c r="AK43" s="4"/>
      <c r="AL43" s="4"/>
      <c r="AM43" s="4"/>
      <c r="AN43" s="4"/>
      <c r="AO43" s="4"/>
    </row>
    <row r="44" spans="1:42" x14ac:dyDescent="0.25">
      <c r="A44" s="2"/>
      <c r="B44" s="8" t="s">
        <v>0</v>
      </c>
      <c r="C44" s="6">
        <f>1+B38</f>
        <v>1.0205</v>
      </c>
      <c r="D44" s="6">
        <f>+C44*C44</f>
        <v>1.0414202499999998</v>
      </c>
      <c r="E44" s="6">
        <f>+D44*$C$44</f>
        <v>1.0627693651249999</v>
      </c>
      <c r="F44" s="6">
        <f>+E44*$C$44</f>
        <v>1.0845561371100623</v>
      </c>
      <c r="G44" s="6">
        <f>+F44*$C$44</f>
        <v>1.1067895379208186</v>
      </c>
      <c r="H44" s="6">
        <f>+G44*$C$44</f>
        <v>1.1294787234481953</v>
      </c>
      <c r="I44" s="6">
        <f>+H44*$C$44</f>
        <v>1.1526330372788833</v>
      </c>
      <c r="J44" s="6">
        <f>+I44*$C$44</f>
        <v>1.1762620145431004</v>
      </c>
      <c r="K44" s="6">
        <f>+J44*$C$44</f>
        <v>1.200375385841234</v>
      </c>
      <c r="L44" s="6">
        <f>+K44*$C$44</f>
        <v>1.2249830812509792</v>
      </c>
      <c r="M44" s="6">
        <f>+L44*$C$44</f>
        <v>1.2500952344166243</v>
      </c>
      <c r="N44" s="6">
        <f>+M44*$C$44</f>
        <v>1.2757221867221651</v>
      </c>
      <c r="O44" s="7"/>
      <c r="P44" s="6">
        <f>+N44*$C$44</f>
        <v>1.3018744915499694</v>
      </c>
      <c r="Q44" s="6">
        <f>+P44*$C$44</f>
        <v>1.3285629186267436</v>
      </c>
      <c r="R44" s="6">
        <f>+Q44*$C$44</f>
        <v>1.3557984584585918</v>
      </c>
      <c r="S44" s="6">
        <f>+R44*$C$44</f>
        <v>1.383592326856993</v>
      </c>
      <c r="T44" s="6">
        <f>+S44*$C$44</f>
        <v>1.4119559695575612</v>
      </c>
      <c r="U44" s="6">
        <f>+T44*$C$44</f>
        <v>1.4409010669334912</v>
      </c>
      <c r="V44" s="6">
        <f>+U44*$C$44</f>
        <v>1.4704395388056277</v>
      </c>
      <c r="W44" s="6">
        <f>+V44*$C$44</f>
        <v>1.500583549351143</v>
      </c>
      <c r="X44" s="6">
        <f>+W44*$C$44</f>
        <v>1.5313455121128414</v>
      </c>
      <c r="Y44" s="6">
        <f>+X44*$C$44</f>
        <v>1.5627380951111547</v>
      </c>
      <c r="Z44" s="6">
        <f>+Y44*$C$44</f>
        <v>1.5947742260609332</v>
      </c>
      <c r="AA44" s="6">
        <f>+Z44*$C$44</f>
        <v>1.6274670976951824</v>
      </c>
      <c r="AB44" s="6">
        <f>+AA44*$C$44</f>
        <v>1.6608301731979336</v>
      </c>
      <c r="AC44" s="6">
        <f>+AB44*$C$44</f>
        <v>1.6948771917484911</v>
      </c>
      <c r="AD44" s="6">
        <f>+AC44*$C$44</f>
        <v>1.7296221741793349</v>
      </c>
      <c r="AE44" s="6">
        <f>+AD44*$C$44</f>
        <v>1.7650794287500113</v>
      </c>
      <c r="AF44" s="6">
        <f>+AE44*$C$44</f>
        <v>1.8012635570393865</v>
      </c>
      <c r="AG44" s="6">
        <f>+AF44*$C$44</f>
        <v>1.8381894599586939</v>
      </c>
      <c r="AH44" s="4"/>
      <c r="AI44" s="5"/>
      <c r="AJ44" s="4"/>
      <c r="AK44" s="4"/>
      <c r="AL44" s="4"/>
      <c r="AM44" s="4"/>
      <c r="AN44" s="4"/>
      <c r="AO44" s="4"/>
    </row>
    <row r="45" spans="1:4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3"/>
      <c r="AJ45" s="2"/>
      <c r="AK45" s="2"/>
      <c r="AL45" s="2"/>
      <c r="AM45" s="2"/>
    </row>
    <row r="46" spans="1:4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3"/>
      <c r="AJ46" s="2"/>
      <c r="AK46" s="2"/>
      <c r="AL46" s="2"/>
      <c r="AM46" s="2"/>
    </row>
    <row r="47" spans="1:4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3"/>
      <c r="AJ47" s="2"/>
      <c r="AK47" s="2"/>
      <c r="AL47" s="2"/>
      <c r="AM47" s="2"/>
    </row>
    <row r="48" spans="1:4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3"/>
      <c r="AJ48" s="2"/>
      <c r="AK48" s="2"/>
      <c r="AL48" s="2"/>
      <c r="AM48" s="2"/>
    </row>
    <row r="49" spans="1:3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3"/>
      <c r="AJ49" s="2"/>
      <c r="AK49" s="2"/>
      <c r="AL49" s="2"/>
      <c r="AM49" s="2"/>
    </row>
  </sheetData>
  <protectedRanges>
    <protectedRange sqref="B7:B8" name="Rango1"/>
  </protectedRanges>
  <mergeCells count="24">
    <mergeCell ref="AI34:AJ34"/>
    <mergeCell ref="AH32:AH33"/>
    <mergeCell ref="H4:L4"/>
    <mergeCell ref="AH7:AH8"/>
    <mergeCell ref="A28:A29"/>
    <mergeCell ref="A31:A32"/>
    <mergeCell ref="A13:B13"/>
    <mergeCell ref="A25:A26"/>
    <mergeCell ref="K3:L3"/>
    <mergeCell ref="A14:B14"/>
    <mergeCell ref="A16:A17"/>
    <mergeCell ref="A1:B1"/>
    <mergeCell ref="A11:B11"/>
    <mergeCell ref="A12:B12"/>
    <mergeCell ref="K2:L2"/>
    <mergeCell ref="J39:L39"/>
    <mergeCell ref="G39:I39"/>
    <mergeCell ref="AD35:AG35"/>
    <mergeCell ref="AC39:AE39"/>
    <mergeCell ref="AF39:AG39"/>
    <mergeCell ref="Q39:S39"/>
    <mergeCell ref="T39:V39"/>
    <mergeCell ref="W39:Y39"/>
    <mergeCell ref="Z39:AB3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Hoja2</vt:lpstr>
      <vt:lpstr>Hoja3</vt:lpstr>
      <vt:lpstr>inf</vt:lpstr>
      <vt:lpstr>Mat</vt:lpstr>
      <vt:lpstr>MO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Schenone</dc:creator>
  <cp:lastModifiedBy>Mariela Schenone</cp:lastModifiedBy>
  <dcterms:created xsi:type="dcterms:W3CDTF">2011-10-21T20:52:34Z</dcterms:created>
  <dcterms:modified xsi:type="dcterms:W3CDTF">2011-10-21T20:53:17Z</dcterms:modified>
</cp:coreProperties>
</file>